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dbretto\Dropbox\ICNC\Board meetings\May 2018\"/>
    </mc:Choice>
  </mc:AlternateContent>
  <bookViews>
    <workbookView xWindow="0" yWindow="0" windowWidth="19200" windowHeight="7200"/>
  </bookViews>
  <sheets>
    <sheet name="Activities summary" sheetId="5" r:id="rId1"/>
    <sheet name="MRI download" sheetId="10" state="hidden" r:id="rId2"/>
    <sheet name="Quickbooks download" sheetId="11" state="hidden" r:id="rId3"/>
    <sheet name="Position" sheetId="14" r:id="rId4"/>
    <sheet name="Cash" sheetId="15" r:id="rId5"/>
    <sheet name="bldg codes" sheetId="13" state="hidden" r:id="rId6"/>
    <sheet name="prog codes" sheetId="12" state="hidden" r:id="rId7"/>
  </sheets>
  <externalReferences>
    <externalReference r:id="rId8"/>
  </externalReferences>
  <definedNames>
    <definedName name="_xlnm.Print_Area" localSheetId="0">'Activities summary'!$A$1:$M$59</definedName>
  </definedNames>
  <calcPr calcId="152511"/>
</workbook>
</file>

<file path=xl/calcChain.xml><?xml version="1.0" encoding="utf-8"?>
<calcChain xmlns="http://schemas.openxmlformats.org/spreadsheetml/2006/main">
  <c r="P55" i="5" l="1"/>
  <c r="P54" i="5"/>
  <c r="P53" i="5"/>
  <c r="P52" i="5"/>
  <c r="P51" i="5"/>
  <c r="P50" i="5"/>
  <c r="P49" i="5"/>
  <c r="F55" i="5"/>
  <c r="F54" i="5"/>
  <c r="F53" i="5"/>
  <c r="F52" i="5"/>
  <c r="F51" i="5"/>
  <c r="F50" i="5"/>
  <c r="F49" i="5"/>
  <c r="D50" i="5"/>
  <c r="D51" i="5"/>
  <c r="D52" i="5"/>
  <c r="D53" i="5"/>
  <c r="D54" i="5"/>
  <c r="D55" i="5"/>
  <c r="D49" i="5"/>
  <c r="P43" i="5"/>
  <c r="P44" i="5"/>
  <c r="P45" i="5"/>
  <c r="P46" i="5"/>
  <c r="P42" i="5"/>
  <c r="F43" i="5"/>
  <c r="F44" i="5"/>
  <c r="F45" i="5"/>
  <c r="F46" i="5"/>
  <c r="F42" i="5"/>
  <c r="D43" i="5"/>
  <c r="D44" i="5"/>
  <c r="D45" i="5"/>
  <c r="D46" i="5"/>
  <c r="D4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22" i="5"/>
  <c r="F36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22" i="5"/>
  <c r="P15" i="5"/>
  <c r="P16" i="5"/>
  <c r="P17" i="5"/>
  <c r="P18" i="5"/>
  <c r="P19" i="5"/>
  <c r="P14" i="5"/>
  <c r="F15" i="5"/>
  <c r="F16" i="5"/>
  <c r="F17" i="5"/>
  <c r="F18" i="5"/>
  <c r="F19" i="5"/>
  <c r="F14" i="5"/>
  <c r="E36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22" i="5"/>
  <c r="D19" i="5"/>
  <c r="D15" i="5"/>
  <c r="D16" i="5"/>
  <c r="D17" i="5"/>
  <c r="D18" i="5"/>
  <c r="D14" i="5"/>
  <c r="O38" i="5" l="1"/>
  <c r="O36" i="5" l="1"/>
  <c r="O35" i="5"/>
  <c r="O34" i="5"/>
  <c r="O32" i="5"/>
  <c r="O33" i="5"/>
  <c r="O31" i="5"/>
  <c r="O30" i="5"/>
  <c r="O29" i="5"/>
  <c r="O28" i="5"/>
  <c r="O27" i="5"/>
  <c r="O26" i="5"/>
  <c r="O25" i="5"/>
  <c r="O24" i="5"/>
  <c r="O23" i="5"/>
  <c r="O22" i="5"/>
  <c r="O18" i="5"/>
  <c r="O19" i="5" s="1"/>
  <c r="O8" i="5" s="1"/>
  <c r="O17" i="5"/>
  <c r="O16" i="5"/>
  <c r="O15" i="5"/>
  <c r="O14" i="5"/>
  <c r="O53" i="5"/>
  <c r="O52" i="5"/>
  <c r="O51" i="5"/>
  <c r="O50" i="5"/>
  <c r="O49" i="5"/>
  <c r="O45" i="5"/>
  <c r="O46" i="5" s="1"/>
  <c r="O44" i="5"/>
  <c r="O43" i="5"/>
  <c r="O42" i="5"/>
  <c r="AB74" i="11"/>
  <c r="Y74" i="11"/>
  <c r="X74" i="11"/>
  <c r="W74" i="11"/>
  <c r="U74" i="11"/>
  <c r="AB73" i="11"/>
  <c r="AA73" i="11"/>
  <c r="Y73" i="11"/>
  <c r="AC73" i="11" s="1"/>
  <c r="X73" i="11"/>
  <c r="W73" i="11"/>
  <c r="Z72" i="11"/>
  <c r="AB72" i="11" s="1"/>
  <c r="V72" i="11"/>
  <c r="X72" i="11" s="1"/>
  <c r="AB71" i="11"/>
  <c r="Y71" i="11"/>
  <c r="AA71" i="11" s="1"/>
  <c r="X71" i="11"/>
  <c r="U71" i="11"/>
  <c r="AB70" i="11"/>
  <c r="AA70" i="11"/>
  <c r="Y70" i="11"/>
  <c r="X70" i="11"/>
  <c r="U70" i="11"/>
  <c r="U72" i="11" s="1"/>
  <c r="AB69" i="11"/>
  <c r="Y69" i="11"/>
  <c r="X69" i="11"/>
  <c r="W69" i="11"/>
  <c r="U69" i="11"/>
  <c r="Z68" i="11"/>
  <c r="AB68" i="11" s="1"/>
  <c r="V68" i="11"/>
  <c r="X68" i="11" s="1"/>
  <c r="AB67" i="11"/>
  <c r="Y67" i="11"/>
  <c r="AC67" i="11" s="1"/>
  <c r="X67" i="11"/>
  <c r="U67" i="11"/>
  <c r="U68" i="11" s="1"/>
  <c r="W68" i="11" s="1"/>
  <c r="AC65" i="11"/>
  <c r="AB65" i="11"/>
  <c r="AA65" i="11"/>
  <c r="X65" i="11"/>
  <c r="W65" i="11"/>
  <c r="AC63" i="11"/>
  <c r="AB63" i="11"/>
  <c r="AA63" i="11"/>
  <c r="X63" i="11"/>
  <c r="W63" i="11"/>
  <c r="U63" i="11"/>
  <c r="AB62" i="11"/>
  <c r="AA62" i="11"/>
  <c r="Y62" i="11"/>
  <c r="X62" i="11"/>
  <c r="U62" i="11"/>
  <c r="AC62" i="11" s="1"/>
  <c r="AB61" i="11"/>
  <c r="Y61" i="11"/>
  <c r="AA61" i="11" s="1"/>
  <c r="X61" i="11"/>
  <c r="U61" i="11"/>
  <c r="AC61" i="11" s="1"/>
  <c r="AB60" i="11"/>
  <c r="Y60" i="11"/>
  <c r="X60" i="11"/>
  <c r="W60" i="11"/>
  <c r="U60" i="11"/>
  <c r="AB59" i="11"/>
  <c r="AA59" i="11"/>
  <c r="Y59" i="11"/>
  <c r="X59" i="11"/>
  <c r="W59" i="11"/>
  <c r="U59" i="11"/>
  <c r="AC59" i="11" s="1"/>
  <c r="AB58" i="11"/>
  <c r="Y58" i="11"/>
  <c r="AA58" i="11" s="1"/>
  <c r="X58" i="11"/>
  <c r="U58" i="11"/>
  <c r="AB57" i="11"/>
  <c r="AA57" i="11"/>
  <c r="Y57" i="11"/>
  <c r="X57" i="11"/>
  <c r="U57" i="11"/>
  <c r="AC57" i="11" s="1"/>
  <c r="AB55" i="11"/>
  <c r="Y55" i="11"/>
  <c r="X55" i="11"/>
  <c r="W55" i="11"/>
  <c r="U55" i="11"/>
  <c r="AB54" i="11"/>
  <c r="AA54" i="11"/>
  <c r="Y54" i="11"/>
  <c r="X54" i="11"/>
  <c r="U54" i="11"/>
  <c r="AC54" i="11" s="1"/>
  <c r="AB53" i="11"/>
  <c r="Z53" i="11"/>
  <c r="V53" i="11"/>
  <c r="AB52" i="11"/>
  <c r="Y52" i="11"/>
  <c r="AC52" i="11" s="1"/>
  <c r="X52" i="11"/>
  <c r="W52" i="11"/>
  <c r="U52" i="11"/>
  <c r="AB51" i="11"/>
  <c r="AA51" i="11"/>
  <c r="Y51" i="11"/>
  <c r="X51" i="11"/>
  <c r="W51" i="11"/>
  <c r="U51" i="11"/>
  <c r="U53" i="11" s="1"/>
  <c r="AC50" i="11"/>
  <c r="AB50" i="11"/>
  <c r="AA50" i="11"/>
  <c r="X50" i="11"/>
  <c r="W50" i="11"/>
  <c r="AB49" i="11"/>
  <c r="AA49" i="11"/>
  <c r="Y49" i="11"/>
  <c r="X49" i="11"/>
  <c r="U49" i="11"/>
  <c r="AC49" i="11" s="1"/>
  <c r="AB48" i="11"/>
  <c r="AA48" i="11"/>
  <c r="Y48" i="11"/>
  <c r="X48" i="11"/>
  <c r="U48" i="11"/>
  <c r="AC48" i="11" s="1"/>
  <c r="AC47" i="11"/>
  <c r="AB47" i="11"/>
  <c r="AA47" i="11"/>
  <c r="X47" i="11"/>
  <c r="W47" i="11"/>
  <c r="Z46" i="11"/>
  <c r="AB46" i="11" s="1"/>
  <c r="V46" i="11"/>
  <c r="X46" i="11" s="1"/>
  <c r="AB45" i="11"/>
  <c r="AA45" i="11"/>
  <c r="Y45" i="11"/>
  <c r="X45" i="11"/>
  <c r="W45" i="11"/>
  <c r="U45" i="11"/>
  <c r="AC45" i="11" s="1"/>
  <c r="AB44" i="11"/>
  <c r="AA44" i="11"/>
  <c r="Y44" i="11"/>
  <c r="X44" i="11"/>
  <c r="U44" i="11"/>
  <c r="AB43" i="11"/>
  <c r="Y43" i="11"/>
  <c r="X43" i="11"/>
  <c r="U43" i="11"/>
  <c r="W43" i="11" s="1"/>
  <c r="AB42" i="11"/>
  <c r="Y42" i="11"/>
  <c r="AC42" i="11" s="1"/>
  <c r="X42" i="11"/>
  <c r="W42" i="11"/>
  <c r="U42" i="11"/>
  <c r="AB41" i="11"/>
  <c r="AA41" i="11"/>
  <c r="Y41" i="11"/>
  <c r="X41" i="11"/>
  <c r="W41" i="11"/>
  <c r="U41" i="11"/>
  <c r="AC41" i="11" s="1"/>
  <c r="AB40" i="11"/>
  <c r="Y40" i="11"/>
  <c r="AA40" i="11" s="1"/>
  <c r="X40" i="11"/>
  <c r="U40" i="11"/>
  <c r="AB39" i="11"/>
  <c r="Y39" i="11"/>
  <c r="AC39" i="11" s="1"/>
  <c r="X39" i="11"/>
  <c r="W39" i="11"/>
  <c r="U39" i="11"/>
  <c r="AC38" i="11"/>
  <c r="AB38" i="11"/>
  <c r="AA38" i="11"/>
  <c r="X38" i="11"/>
  <c r="W38" i="11"/>
  <c r="Z37" i="11"/>
  <c r="V37" i="11"/>
  <c r="AB35" i="11"/>
  <c r="AA35" i="11"/>
  <c r="Y35" i="11"/>
  <c r="Y37" i="11" s="1"/>
  <c r="X35" i="11"/>
  <c r="U35" i="11"/>
  <c r="AC33" i="11"/>
  <c r="AB33" i="11"/>
  <c r="AA33" i="11"/>
  <c r="X33" i="11"/>
  <c r="W33" i="11"/>
  <c r="U33" i="11"/>
  <c r="AB32" i="11"/>
  <c r="AA32" i="11"/>
  <c r="X32" i="11"/>
  <c r="U32" i="11"/>
  <c r="AC32" i="11" s="1"/>
  <c r="AC30" i="11"/>
  <c r="AB30" i="11"/>
  <c r="AA30" i="11"/>
  <c r="X30" i="11"/>
  <c r="W30" i="11"/>
  <c r="U30" i="11"/>
  <c r="AB29" i="11"/>
  <c r="AA29" i="11"/>
  <c r="Y29" i="11"/>
  <c r="X29" i="11"/>
  <c r="W29" i="11"/>
  <c r="U29" i="11"/>
  <c r="U37" i="11" s="1"/>
  <c r="AC28" i="11"/>
  <c r="AB28" i="11"/>
  <c r="AA28" i="11"/>
  <c r="X28" i="11"/>
  <c r="W28" i="11"/>
  <c r="AB24" i="11"/>
  <c r="Y24" i="11"/>
  <c r="AC24" i="11" s="1"/>
  <c r="X24" i="11"/>
  <c r="W24" i="11"/>
  <c r="AB23" i="11"/>
  <c r="AA23" i="11"/>
  <c r="X23" i="11"/>
  <c r="U23" i="11"/>
  <c r="AC23" i="11" s="1"/>
  <c r="Z22" i="11"/>
  <c r="AB22" i="11" s="1"/>
  <c r="V22" i="11"/>
  <c r="X22" i="11" s="1"/>
  <c r="AB20" i="11"/>
  <c r="Y20" i="11"/>
  <c r="Y22" i="11" s="1"/>
  <c r="AA22" i="11" s="1"/>
  <c r="X20" i="11"/>
  <c r="W20" i="11"/>
  <c r="AB19" i="11"/>
  <c r="AA19" i="11"/>
  <c r="X19" i="11"/>
  <c r="U19" i="11"/>
  <c r="U22" i="11" s="1"/>
  <c r="AC18" i="11"/>
  <c r="AB18" i="11"/>
  <c r="AA18" i="11"/>
  <c r="X18" i="11"/>
  <c r="W18" i="11"/>
  <c r="AB17" i="11"/>
  <c r="Z17" i="11"/>
  <c r="W17" i="11"/>
  <c r="V17" i="11"/>
  <c r="X17" i="11" s="1"/>
  <c r="U17" i="11"/>
  <c r="AC16" i="11"/>
  <c r="AB16" i="11"/>
  <c r="AA16" i="11"/>
  <c r="Y16" i="11"/>
  <c r="Y17" i="11" s="1"/>
  <c r="X16" i="11"/>
  <c r="W16" i="11"/>
  <c r="AC15" i="11"/>
  <c r="AB15" i="11"/>
  <c r="AA15" i="11"/>
  <c r="X15" i="11"/>
  <c r="W15" i="11"/>
  <c r="Z14" i="11"/>
  <c r="AB14" i="11" s="1"/>
  <c r="Y14" i="11"/>
  <c r="AA14" i="11" s="1"/>
  <c r="V14" i="11"/>
  <c r="X14" i="11" s="1"/>
  <c r="AC13" i="11"/>
  <c r="AB13" i="11"/>
  <c r="AA13" i="11"/>
  <c r="X13" i="11"/>
  <c r="W13" i="11"/>
  <c r="U13" i="11"/>
  <c r="U14" i="11" s="1"/>
  <c r="AC12" i="11"/>
  <c r="AB12" i="11"/>
  <c r="AA12" i="11"/>
  <c r="X12" i="11"/>
  <c r="W12" i="11"/>
  <c r="AA8" i="11"/>
  <c r="Z8" i="11"/>
  <c r="AB8" i="11" s="1"/>
  <c r="Y8" i="11"/>
  <c r="V8" i="11"/>
  <c r="V25" i="11" s="1"/>
  <c r="AC7" i="11"/>
  <c r="AB7" i="11"/>
  <c r="AA7" i="11"/>
  <c r="X7" i="11"/>
  <c r="W7" i="11"/>
  <c r="U7" i="11"/>
  <c r="U8" i="11" s="1"/>
  <c r="AC6" i="11"/>
  <c r="AB6" i="11"/>
  <c r="AA6" i="11"/>
  <c r="X6" i="11"/>
  <c r="W6" i="11"/>
  <c r="O54" i="5" l="1"/>
  <c r="O55" i="5" s="1"/>
  <c r="V75" i="11"/>
  <c r="X75" i="11" s="1"/>
  <c r="X8" i="11"/>
  <c r="AC35" i="11"/>
  <c r="AA42" i="11"/>
  <c r="AC44" i="11"/>
  <c r="W49" i="11"/>
  <c r="AA52" i="11"/>
  <c r="X53" i="11"/>
  <c r="W54" i="11"/>
  <c r="AC58" i="11"/>
  <c r="AC60" i="11"/>
  <c r="W62" i="11"/>
  <c r="AC71" i="11"/>
  <c r="W19" i="11"/>
  <c r="AC19" i="11"/>
  <c r="AA20" i="11"/>
  <c r="U46" i="11"/>
  <c r="W46" i="11" s="1"/>
  <c r="Y53" i="11"/>
  <c r="AA53" i="11" s="1"/>
  <c r="Z75" i="11"/>
  <c r="AB75" i="11" s="1"/>
  <c r="AC55" i="11"/>
  <c r="W58" i="11"/>
  <c r="W67" i="11"/>
  <c r="AC69" i="11"/>
  <c r="Y72" i="11"/>
  <c r="AA72" i="11" s="1"/>
  <c r="W71" i="11"/>
  <c r="AC74" i="11"/>
  <c r="Z25" i="11"/>
  <c r="AB25" i="11" s="1"/>
  <c r="AC43" i="11"/>
  <c r="W8" i="11"/>
  <c r="U25" i="11"/>
  <c r="AC8" i="11"/>
  <c r="AC17" i="11"/>
  <c r="V77" i="11"/>
  <c r="X77" i="11" s="1"/>
  <c r="X25" i="11"/>
  <c r="V26" i="11"/>
  <c r="W72" i="11"/>
  <c r="AC22" i="11"/>
  <c r="W22" i="11"/>
  <c r="AA17" i="11"/>
  <c r="Y25" i="11"/>
  <c r="Z26" i="11"/>
  <c r="W14" i="11"/>
  <c r="AC14" i="11"/>
  <c r="AC37" i="11"/>
  <c r="W37" i="11"/>
  <c r="AA37" i="11"/>
  <c r="Z77" i="11"/>
  <c r="AB77" i="11" s="1"/>
  <c r="W53" i="11"/>
  <c r="Y68" i="11"/>
  <c r="AA68" i="11" s="1"/>
  <c r="U75" i="11"/>
  <c r="W23" i="11"/>
  <c r="AA24" i="11"/>
  <c r="AC29" i="11"/>
  <c r="W32" i="11"/>
  <c r="W35" i="11"/>
  <c r="AA39" i="11"/>
  <c r="W40" i="11"/>
  <c r="AA43" i="11"/>
  <c r="W44" i="11"/>
  <c r="W48" i="11"/>
  <c r="AC51" i="11"/>
  <c r="AA55" i="11"/>
  <c r="W57" i="11"/>
  <c r="AA60" i="11"/>
  <c r="W61" i="11"/>
  <c r="AA67" i="11"/>
  <c r="AA69" i="11"/>
  <c r="W70" i="11"/>
  <c r="AA74" i="11"/>
  <c r="AC20" i="11"/>
  <c r="X37" i="11"/>
  <c r="AB37" i="11"/>
  <c r="AC40" i="11"/>
  <c r="Y46" i="11"/>
  <c r="AA46" i="11" s="1"/>
  <c r="AC70" i="11"/>
  <c r="O9" i="5" l="1"/>
  <c r="O10" i="5" s="1"/>
  <c r="O57" i="5"/>
  <c r="Y75" i="11"/>
  <c r="AA75" i="11" s="1"/>
  <c r="AC53" i="11"/>
  <c r="AC72" i="11"/>
  <c r="AA25" i="11"/>
  <c r="Y26" i="11"/>
  <c r="AC68" i="11"/>
  <c r="W75" i="11"/>
  <c r="U77" i="11"/>
  <c r="Z78" i="11"/>
  <c r="AB26" i="11"/>
  <c r="V78" i="11"/>
  <c r="X26" i="11"/>
  <c r="AC46" i="11"/>
  <c r="W25" i="11"/>
  <c r="AC25" i="11"/>
  <c r="U26" i="11"/>
  <c r="AC75" i="11" l="1"/>
  <c r="Y77" i="11"/>
  <c r="AA77" i="11" s="1"/>
  <c r="AB78" i="11"/>
  <c r="Z79" i="11"/>
  <c r="AB79" i="11" s="1"/>
  <c r="V79" i="11"/>
  <c r="X79" i="11" s="1"/>
  <c r="X78" i="11"/>
  <c r="W26" i="11"/>
  <c r="U78" i="11"/>
  <c r="AC26" i="11"/>
  <c r="W77" i="11"/>
  <c r="AA26" i="11"/>
  <c r="Y78" i="11"/>
  <c r="AC77" i="11" l="1"/>
  <c r="Y79" i="11"/>
  <c r="AA79" i="11" s="1"/>
  <c r="AA78" i="11"/>
  <c r="U79" i="11"/>
  <c r="AC78" i="11"/>
  <c r="W78" i="11"/>
  <c r="AC79" i="11" l="1"/>
  <c r="W79" i="11"/>
  <c r="E35" i="5" l="1"/>
  <c r="C35" i="5"/>
  <c r="E34" i="5"/>
  <c r="C34" i="5"/>
  <c r="E28" i="5"/>
  <c r="E29" i="5"/>
  <c r="C28" i="5"/>
  <c r="G28" i="5" s="1"/>
  <c r="E33" i="5"/>
  <c r="C33" i="5"/>
  <c r="G33" i="5" s="1"/>
  <c r="E32" i="5"/>
  <c r="C32" i="5"/>
  <c r="G32" i="5" s="1"/>
  <c r="E31" i="5"/>
  <c r="C31" i="5"/>
  <c r="G31" i="5" s="1"/>
  <c r="E30" i="5"/>
  <c r="C30" i="5"/>
  <c r="C29" i="5"/>
  <c r="G29" i="5" s="1"/>
  <c r="E27" i="5"/>
  <c r="C27" i="5"/>
  <c r="E26" i="5"/>
  <c r="C26" i="5"/>
  <c r="E25" i="5"/>
  <c r="C25" i="5"/>
  <c r="G25" i="5" s="1"/>
  <c r="E24" i="5"/>
  <c r="C24" i="5"/>
  <c r="G24" i="5" s="1"/>
  <c r="E23" i="5"/>
  <c r="C23" i="5"/>
  <c r="E22" i="5"/>
  <c r="C22" i="5"/>
  <c r="G22" i="5" s="1"/>
  <c r="E17" i="5"/>
  <c r="C17" i="5"/>
  <c r="E16" i="5"/>
  <c r="C16" i="5"/>
  <c r="E15" i="5"/>
  <c r="C15" i="5"/>
  <c r="G15" i="5" s="1"/>
  <c r="E14" i="5"/>
  <c r="E18" i="5" s="1"/>
  <c r="C14" i="5"/>
  <c r="G14" i="5" s="1"/>
  <c r="G16" i="5" l="1"/>
  <c r="G17" i="5"/>
  <c r="G23" i="5"/>
  <c r="G26" i="5"/>
  <c r="G27" i="5"/>
  <c r="G34" i="5"/>
  <c r="G35" i="5"/>
  <c r="G30" i="5"/>
  <c r="C18" i="5"/>
  <c r="G18" i="5" s="1"/>
  <c r="M76" i="11"/>
  <c r="L76" i="11"/>
  <c r="K76" i="11"/>
  <c r="F76" i="11"/>
  <c r="J74" i="11"/>
  <c r="I74" i="11"/>
  <c r="F74" i="11"/>
  <c r="E74" i="11"/>
  <c r="J73" i="11"/>
  <c r="I73" i="11"/>
  <c r="F73" i="11"/>
  <c r="E73" i="11"/>
  <c r="J71" i="11"/>
  <c r="I71" i="11"/>
  <c r="F71" i="11"/>
  <c r="E71" i="11"/>
  <c r="J70" i="11"/>
  <c r="I70" i="11"/>
  <c r="F70" i="11"/>
  <c r="E70" i="11"/>
  <c r="J69" i="11"/>
  <c r="I69" i="11"/>
  <c r="F69" i="11"/>
  <c r="J67" i="11"/>
  <c r="I67" i="11"/>
  <c r="F67" i="11"/>
  <c r="E67" i="11"/>
  <c r="J66" i="11"/>
  <c r="I66" i="11"/>
  <c r="F66" i="11"/>
  <c r="F68" i="11" s="1"/>
  <c r="E66" i="11"/>
  <c r="O65" i="11"/>
  <c r="S65" i="11" s="1"/>
  <c r="M65" i="11"/>
  <c r="L65" i="11"/>
  <c r="K65" i="11"/>
  <c r="H65" i="11"/>
  <c r="G65" i="11"/>
  <c r="J63" i="11"/>
  <c r="K63" i="11" s="1"/>
  <c r="F63" i="11"/>
  <c r="E63" i="11"/>
  <c r="M63" i="11" s="1"/>
  <c r="J62" i="11"/>
  <c r="I62" i="11"/>
  <c r="F62" i="11"/>
  <c r="E62" i="11"/>
  <c r="J61" i="11"/>
  <c r="O61" i="11" s="1"/>
  <c r="I61" i="11"/>
  <c r="H61" i="11"/>
  <c r="E61" i="11"/>
  <c r="G61" i="11" s="1"/>
  <c r="J60" i="11"/>
  <c r="I60" i="11"/>
  <c r="F60" i="11"/>
  <c r="E60" i="11"/>
  <c r="J59" i="11"/>
  <c r="I59" i="11"/>
  <c r="F59" i="11"/>
  <c r="E59" i="11"/>
  <c r="J58" i="11"/>
  <c r="I58" i="11"/>
  <c r="F58" i="11"/>
  <c r="E58" i="11"/>
  <c r="J57" i="11"/>
  <c r="I57" i="11"/>
  <c r="F57" i="11"/>
  <c r="E57" i="11"/>
  <c r="J56" i="11"/>
  <c r="I56" i="11"/>
  <c r="F56" i="11"/>
  <c r="E56" i="11"/>
  <c r="J55" i="11"/>
  <c r="I55" i="11"/>
  <c r="F55" i="11"/>
  <c r="E55" i="11"/>
  <c r="J54" i="11"/>
  <c r="I54" i="11"/>
  <c r="F54" i="11"/>
  <c r="E54" i="11"/>
  <c r="J52" i="11"/>
  <c r="I52" i="11"/>
  <c r="F52" i="11"/>
  <c r="E52" i="11"/>
  <c r="J51" i="11"/>
  <c r="I51" i="11"/>
  <c r="F51" i="11"/>
  <c r="E51" i="11"/>
  <c r="E53" i="11" s="1"/>
  <c r="O50" i="11"/>
  <c r="S50" i="11" s="1"/>
  <c r="M50" i="11"/>
  <c r="L50" i="11"/>
  <c r="K50" i="11"/>
  <c r="H50" i="11"/>
  <c r="G50" i="11"/>
  <c r="J49" i="11"/>
  <c r="I49" i="11"/>
  <c r="F49" i="11"/>
  <c r="E49" i="11"/>
  <c r="J48" i="11"/>
  <c r="I48" i="11"/>
  <c r="F48" i="11"/>
  <c r="E48" i="11"/>
  <c r="O47" i="11"/>
  <c r="S47" i="11" s="1"/>
  <c r="M47" i="11"/>
  <c r="L47" i="11"/>
  <c r="K47" i="11"/>
  <c r="H47" i="11"/>
  <c r="G47" i="11"/>
  <c r="J45" i="11"/>
  <c r="I45" i="11"/>
  <c r="F45" i="11"/>
  <c r="E45" i="11"/>
  <c r="J44" i="11"/>
  <c r="I44" i="11"/>
  <c r="F44" i="11"/>
  <c r="E44" i="11"/>
  <c r="J43" i="11"/>
  <c r="I43" i="11"/>
  <c r="F43" i="11"/>
  <c r="E43" i="11"/>
  <c r="J42" i="11"/>
  <c r="I42" i="11"/>
  <c r="F42" i="11"/>
  <c r="E42" i="11"/>
  <c r="J41" i="11"/>
  <c r="I41" i="11"/>
  <c r="F41" i="11"/>
  <c r="E41" i="11"/>
  <c r="J39" i="11"/>
  <c r="I39" i="11"/>
  <c r="F39" i="11"/>
  <c r="E39" i="11"/>
  <c r="O38" i="11"/>
  <c r="S38" i="11" s="1"/>
  <c r="M38" i="11"/>
  <c r="L38" i="11"/>
  <c r="K38" i="11"/>
  <c r="H38" i="11"/>
  <c r="G38" i="11"/>
  <c r="J35" i="11"/>
  <c r="I35" i="11"/>
  <c r="M35" i="11" s="1"/>
  <c r="F35" i="11"/>
  <c r="G35" i="11" s="1"/>
  <c r="J33" i="11"/>
  <c r="O33" i="11" s="1"/>
  <c r="I33" i="11"/>
  <c r="M33" i="11" s="1"/>
  <c r="H33" i="11"/>
  <c r="G33" i="11"/>
  <c r="M32" i="11"/>
  <c r="L32" i="11"/>
  <c r="K32" i="11"/>
  <c r="F32" i="11"/>
  <c r="M31" i="11"/>
  <c r="J31" i="11"/>
  <c r="O31" i="11" s="1"/>
  <c r="S31" i="11" s="1"/>
  <c r="H31" i="11"/>
  <c r="G31" i="11"/>
  <c r="L30" i="11"/>
  <c r="K30" i="11"/>
  <c r="F30" i="11"/>
  <c r="O30" i="11" s="1"/>
  <c r="E30" i="11"/>
  <c r="E37" i="11" s="1"/>
  <c r="O28" i="11"/>
  <c r="S28" i="11" s="1"/>
  <c r="M28" i="11"/>
  <c r="L28" i="11"/>
  <c r="K28" i="11"/>
  <c r="H28" i="11"/>
  <c r="G28" i="11"/>
  <c r="J20" i="11"/>
  <c r="J22" i="11" s="1"/>
  <c r="I20" i="11"/>
  <c r="I22" i="11" s="1"/>
  <c r="H20" i="11"/>
  <c r="G20" i="11"/>
  <c r="L19" i="11"/>
  <c r="K19" i="11"/>
  <c r="F19" i="11"/>
  <c r="F22" i="11" s="1"/>
  <c r="E19" i="11"/>
  <c r="E22" i="11" s="1"/>
  <c r="O18" i="11"/>
  <c r="S18" i="11" s="1"/>
  <c r="M18" i="11"/>
  <c r="L18" i="11"/>
  <c r="K18" i="11"/>
  <c r="H18" i="11"/>
  <c r="G18" i="11"/>
  <c r="J14" i="11"/>
  <c r="L14" i="11" s="1"/>
  <c r="I14" i="11"/>
  <c r="L13" i="11"/>
  <c r="K13" i="11"/>
  <c r="F13" i="11"/>
  <c r="E13" i="11"/>
  <c r="E14" i="11" s="1"/>
  <c r="O12" i="11"/>
  <c r="S12" i="11" s="1"/>
  <c r="M12" i="11"/>
  <c r="L12" i="11"/>
  <c r="K12" i="11"/>
  <c r="H12" i="11"/>
  <c r="G12" i="11"/>
  <c r="J11" i="11"/>
  <c r="L11" i="11" s="1"/>
  <c r="I11" i="11"/>
  <c r="E11" i="11"/>
  <c r="M10" i="11"/>
  <c r="L10" i="11"/>
  <c r="K10" i="11"/>
  <c r="F10" i="11"/>
  <c r="G10" i="11" s="1"/>
  <c r="O9" i="11"/>
  <c r="S9" i="11" s="1"/>
  <c r="M9" i="11"/>
  <c r="L9" i="11"/>
  <c r="K9" i="11"/>
  <c r="H9" i="11"/>
  <c r="G9" i="11"/>
  <c r="J8" i="11"/>
  <c r="I8" i="11"/>
  <c r="F8" i="11"/>
  <c r="O7" i="11"/>
  <c r="S7" i="11" s="1"/>
  <c r="L7" i="11"/>
  <c r="K7" i="11"/>
  <c r="H7" i="11"/>
  <c r="E7" i="11"/>
  <c r="M7" i="11" s="1"/>
  <c r="Q7" i="11" s="1"/>
  <c r="O6" i="11"/>
  <c r="S6" i="11" s="1"/>
  <c r="M6" i="11"/>
  <c r="L6" i="11"/>
  <c r="K6" i="11"/>
  <c r="H6" i="11"/>
  <c r="G6" i="11"/>
  <c r="L43" i="11" l="1"/>
  <c r="M11" i="11"/>
  <c r="C42" i="5" s="1"/>
  <c r="G41" i="11"/>
  <c r="H42" i="11"/>
  <c r="K49" i="11"/>
  <c r="G52" i="11"/>
  <c r="M56" i="11"/>
  <c r="M59" i="11"/>
  <c r="G70" i="11"/>
  <c r="G74" i="11"/>
  <c r="K48" i="11"/>
  <c r="O62" i="11"/>
  <c r="K42" i="11"/>
  <c r="K62" i="11"/>
  <c r="K22" i="11"/>
  <c r="O42" i="11"/>
  <c r="S42" i="11" s="1"/>
  <c r="G49" i="11"/>
  <c r="O22" i="11"/>
  <c r="E43" i="5" s="1"/>
  <c r="G45" i="11"/>
  <c r="L56" i="11"/>
  <c r="K59" i="11"/>
  <c r="H10" i="11"/>
  <c r="O10" i="11"/>
  <c r="S10" i="11" s="1"/>
  <c r="K31" i="11"/>
  <c r="K39" i="11"/>
  <c r="L60" i="11"/>
  <c r="H62" i="11"/>
  <c r="H63" i="11"/>
  <c r="L31" i="11"/>
  <c r="E46" i="11"/>
  <c r="L42" i="11"/>
  <c r="O49" i="11"/>
  <c r="H54" i="11"/>
  <c r="H58" i="11"/>
  <c r="M60" i="11"/>
  <c r="L61" i="11"/>
  <c r="H67" i="11"/>
  <c r="Q6" i="11"/>
  <c r="H30" i="11"/>
  <c r="L51" i="11"/>
  <c r="K54" i="11"/>
  <c r="K55" i="11"/>
  <c r="M19" i="11"/>
  <c r="Q31" i="11"/>
  <c r="M42" i="11"/>
  <c r="G43" i="11"/>
  <c r="H48" i="11"/>
  <c r="K57" i="11"/>
  <c r="K58" i="11"/>
  <c r="M62" i="11"/>
  <c r="G67" i="11"/>
  <c r="K8" i="11"/>
  <c r="L20" i="11"/>
  <c r="Q38" i="11"/>
  <c r="O51" i="11"/>
  <c r="M55" i="11"/>
  <c r="M61" i="11"/>
  <c r="Q61" i="11" s="1"/>
  <c r="L62" i="11"/>
  <c r="K69" i="11"/>
  <c r="K71" i="11"/>
  <c r="K73" i="11"/>
  <c r="Q12" i="11"/>
  <c r="Q28" i="11"/>
  <c r="K41" i="11"/>
  <c r="Q50" i="11"/>
  <c r="Q65" i="11"/>
  <c r="K66" i="11"/>
  <c r="E8" i="11"/>
  <c r="E25" i="11" s="1"/>
  <c r="G48" i="11"/>
  <c r="O48" i="11"/>
  <c r="L57" i="11"/>
  <c r="G7" i="11"/>
  <c r="H19" i="11"/>
  <c r="O19" i="11"/>
  <c r="S19" i="11" s="1"/>
  <c r="S33" i="11"/>
  <c r="G39" i="11"/>
  <c r="L41" i="11"/>
  <c r="M44" i="11"/>
  <c r="L45" i="11"/>
  <c r="M49" i="11"/>
  <c r="G51" i="11"/>
  <c r="M52" i="11"/>
  <c r="L52" i="11"/>
  <c r="J53" i="11"/>
  <c r="L54" i="11"/>
  <c r="H56" i="11"/>
  <c r="M57" i="11"/>
  <c r="L58" i="11"/>
  <c r="H60" i="11"/>
  <c r="L63" i="11"/>
  <c r="J25" i="11"/>
  <c r="J26" i="11" s="1"/>
  <c r="Q9" i="11"/>
  <c r="K14" i="11"/>
  <c r="Q18" i="11"/>
  <c r="G19" i="11"/>
  <c r="O39" i="11"/>
  <c r="E49" i="5" s="1"/>
  <c r="H43" i="11"/>
  <c r="O43" i="11"/>
  <c r="H51" i="11"/>
  <c r="F53" i="11"/>
  <c r="H53" i="11" s="1"/>
  <c r="H55" i="11"/>
  <c r="K56" i="11"/>
  <c r="H59" i="11"/>
  <c r="K60" i="11"/>
  <c r="H66" i="11"/>
  <c r="O67" i="11"/>
  <c r="H71" i="11"/>
  <c r="H73" i="11"/>
  <c r="O8" i="11"/>
  <c r="S8" i="11" s="1"/>
  <c r="F11" i="11"/>
  <c r="H11" i="11" s="1"/>
  <c r="L22" i="11"/>
  <c r="L35" i="11"/>
  <c r="M41" i="11"/>
  <c r="M45" i="11"/>
  <c r="L49" i="11"/>
  <c r="K20" i="11"/>
  <c r="G30" i="11"/>
  <c r="M30" i="11"/>
  <c r="O35" i="11"/>
  <c r="Q35" i="11" s="1"/>
  <c r="K35" i="11"/>
  <c r="I46" i="11"/>
  <c r="M46" i="11" s="1"/>
  <c r="O41" i="11"/>
  <c r="G42" i="11"/>
  <c r="M43" i="11"/>
  <c r="K43" i="11"/>
  <c r="H45" i="11"/>
  <c r="O45" i="11"/>
  <c r="M48" i="11"/>
  <c r="L48" i="11"/>
  <c r="H49" i="11"/>
  <c r="I53" i="11"/>
  <c r="H52" i="11"/>
  <c r="O52" i="11"/>
  <c r="M54" i="11"/>
  <c r="L55" i="11"/>
  <c r="H57" i="11"/>
  <c r="M58" i="11"/>
  <c r="L59" i="11"/>
  <c r="K61" i="11"/>
  <c r="G62" i="11"/>
  <c r="G63" i="11"/>
  <c r="G66" i="11"/>
  <c r="J68" i="11"/>
  <c r="O68" i="11" s="1"/>
  <c r="K67" i="11"/>
  <c r="L70" i="11"/>
  <c r="L74" i="11"/>
  <c r="Q33" i="11"/>
  <c r="F37" i="11"/>
  <c r="O32" i="11"/>
  <c r="E52" i="5" s="1"/>
  <c r="H32" i="11"/>
  <c r="G32" i="11"/>
  <c r="L44" i="11"/>
  <c r="K44" i="11"/>
  <c r="H22" i="11"/>
  <c r="M14" i="11"/>
  <c r="C44" i="5" s="1"/>
  <c r="F14" i="11"/>
  <c r="G14" i="11" s="1"/>
  <c r="O13" i="11"/>
  <c r="H13" i="11"/>
  <c r="J37" i="11"/>
  <c r="L33" i="11"/>
  <c r="I25" i="11"/>
  <c r="K11" i="11"/>
  <c r="G22" i="11"/>
  <c r="M22" i="11"/>
  <c r="C43" i="5" s="1"/>
  <c r="J46" i="11"/>
  <c r="O44" i="11"/>
  <c r="H44" i="11"/>
  <c r="G44" i="11"/>
  <c r="M70" i="11"/>
  <c r="O76" i="11"/>
  <c r="S76" i="11" s="1"/>
  <c r="H76" i="11"/>
  <c r="H8" i="11"/>
  <c r="L8" i="11"/>
  <c r="G13" i="11"/>
  <c r="M13" i="11"/>
  <c r="M20" i="11"/>
  <c r="K33" i="11"/>
  <c r="H35" i="11"/>
  <c r="H39" i="11"/>
  <c r="L39" i="11"/>
  <c r="H41" i="11"/>
  <c r="F46" i="11"/>
  <c r="Q47" i="11"/>
  <c r="G54" i="11"/>
  <c r="O54" i="11"/>
  <c r="G55" i="11"/>
  <c r="O55" i="11"/>
  <c r="S55" i="11" s="1"/>
  <c r="G56" i="11"/>
  <c r="O56" i="11"/>
  <c r="G57" i="11"/>
  <c r="O57" i="11"/>
  <c r="G58" i="11"/>
  <c r="O58" i="11"/>
  <c r="G59" i="11"/>
  <c r="O59" i="11"/>
  <c r="S59" i="11" s="1"/>
  <c r="G60" i="11"/>
  <c r="O60" i="11"/>
  <c r="E68" i="11"/>
  <c r="L69" i="11"/>
  <c r="H70" i="11"/>
  <c r="O70" i="11"/>
  <c r="L71" i="11"/>
  <c r="F72" i="11"/>
  <c r="L73" i="11"/>
  <c r="H74" i="11"/>
  <c r="O74" i="11"/>
  <c r="G76" i="11"/>
  <c r="E72" i="11"/>
  <c r="M74" i="11"/>
  <c r="O20" i="11"/>
  <c r="I37" i="11"/>
  <c r="M37" i="11" s="1"/>
  <c r="M39" i="11"/>
  <c r="K45" i="11"/>
  <c r="K51" i="11"/>
  <c r="K52" i="11"/>
  <c r="L66" i="11"/>
  <c r="L67" i="11"/>
  <c r="H68" i="11"/>
  <c r="M69" i="11"/>
  <c r="K70" i="11"/>
  <c r="G71" i="11"/>
  <c r="M71" i="11"/>
  <c r="I72" i="11"/>
  <c r="G73" i="11"/>
  <c r="M73" i="11"/>
  <c r="K74" i="11"/>
  <c r="M66" i="11"/>
  <c r="M67" i="11"/>
  <c r="I68" i="11"/>
  <c r="H69" i="11"/>
  <c r="G69" i="11"/>
  <c r="O69" i="11"/>
  <c r="O71" i="11"/>
  <c r="J72" i="11"/>
  <c r="O73" i="11"/>
  <c r="O63" i="11"/>
  <c r="S63" i="11" s="1"/>
  <c r="O66" i="11"/>
  <c r="M51" i="11"/>
  <c r="A51" i="15"/>
  <c r="AO48" i="15"/>
  <c r="AN48" i="15"/>
  <c r="AM48" i="15"/>
  <c r="AF48" i="15"/>
  <c r="AO47" i="15"/>
  <c r="AN47" i="15"/>
  <c r="AM47" i="15"/>
  <c r="AF47" i="15"/>
  <c r="Q47" i="15"/>
  <c r="I47" i="15"/>
  <c r="G47" i="15"/>
  <c r="F47" i="15"/>
  <c r="AO44" i="15"/>
  <c r="AO46" i="15" s="1"/>
  <c r="AN44" i="15"/>
  <c r="AN46" i="15" s="1"/>
  <c r="AM44" i="15"/>
  <c r="AM46" i="15" s="1"/>
  <c r="AK44" i="15"/>
  <c r="AL44" i="15" s="1"/>
  <c r="AJ44" i="15"/>
  <c r="AK42" i="15" s="1"/>
  <c r="AI44" i="15"/>
  <c r="AJ42" i="15" s="1"/>
  <c r="AH44" i="15"/>
  <c r="AG44" i="15"/>
  <c r="AF44" i="15"/>
  <c r="AF46" i="15" s="1"/>
  <c r="AE44" i="15"/>
  <c r="AD44" i="15"/>
  <c r="AC44" i="15"/>
  <c r="Z44" i="15"/>
  <c r="AD42" i="15" s="1"/>
  <c r="AB44" i="15" s="1"/>
  <c r="Y44" i="15"/>
  <c r="AA44" i="15" s="1"/>
  <c r="V44" i="15"/>
  <c r="Z42" i="15" s="1"/>
  <c r="U44" i="15"/>
  <c r="W44" i="15" s="1"/>
  <c r="Y42" i="15" s="1"/>
  <c r="T44" i="15"/>
  <c r="V42" i="15" s="1"/>
  <c r="S44" i="15"/>
  <c r="U42" i="15" s="1"/>
  <c r="Q44" i="15"/>
  <c r="Q46" i="15" s="1"/>
  <c r="M44" i="15"/>
  <c r="H44" i="15"/>
  <c r="P42" i="15" s="1"/>
  <c r="AI42" i="15"/>
  <c r="AG42" i="15"/>
  <c r="AH42" i="15" s="1"/>
  <c r="AE42" i="15"/>
  <c r="AC42" i="15"/>
  <c r="W42" i="15"/>
  <c r="S42" i="15"/>
  <c r="AA42" i="15" s="1"/>
  <c r="H42" i="15"/>
  <c r="AG38" i="15"/>
  <c r="AC38" i="15"/>
  <c r="I38" i="15"/>
  <c r="G38" i="15"/>
  <c r="F38" i="15"/>
  <c r="E38" i="15"/>
  <c r="E40" i="15" s="1"/>
  <c r="E44" i="15" s="1"/>
  <c r="F42" i="15" s="1"/>
  <c r="W36" i="15"/>
  <c r="B36" i="15"/>
  <c r="AO35" i="15"/>
  <c r="AO38" i="15" s="1"/>
  <c r="AN35" i="15"/>
  <c r="AN38" i="15" s="1"/>
  <c r="AM35" i="15"/>
  <c r="AM38" i="15" s="1"/>
  <c r="AK35" i="15"/>
  <c r="AK38" i="15" s="1"/>
  <c r="AJ35" i="15"/>
  <c r="AJ38" i="15" s="1"/>
  <c r="AI35" i="15"/>
  <c r="AI38" i="15" s="1"/>
  <c r="AH35" i="15"/>
  <c r="AF35" i="15"/>
  <c r="AF38" i="15" s="1"/>
  <c r="AD35" i="15"/>
  <c r="Z35" i="15"/>
  <c r="Z38" i="15" s="1"/>
  <c r="Y35" i="15"/>
  <c r="V35" i="15"/>
  <c r="V38" i="15" s="1"/>
  <c r="U35" i="15"/>
  <c r="T35" i="15"/>
  <c r="S35" i="15"/>
  <c r="S38" i="15" s="1"/>
  <c r="R35" i="15"/>
  <c r="R38" i="15" s="1"/>
  <c r="Q35" i="15"/>
  <c r="Q38" i="15" s="1"/>
  <c r="P35" i="15"/>
  <c r="P38" i="15" s="1"/>
  <c r="L35" i="15"/>
  <c r="L38" i="15" s="1"/>
  <c r="K35" i="15"/>
  <c r="K38" i="15" s="1"/>
  <c r="J35" i="15"/>
  <c r="J38" i="15" s="1"/>
  <c r="H35" i="15"/>
  <c r="H38" i="15" s="1"/>
  <c r="Q31" i="15"/>
  <c r="I31" i="15"/>
  <c r="G31" i="15"/>
  <c r="F31" i="15"/>
  <c r="F40" i="15" s="1"/>
  <c r="E31" i="15"/>
  <c r="X29" i="15"/>
  <c r="O29" i="15"/>
  <c r="N29" i="15"/>
  <c r="H29" i="15"/>
  <c r="AO28" i="15"/>
  <c r="AN28" i="15"/>
  <c r="AM28" i="15"/>
  <c r="AL28" i="15"/>
  <c r="AK28" i="15"/>
  <c r="AJ28" i="15"/>
  <c r="AI28" i="15"/>
  <c r="AH28" i="15"/>
  <c r="AG28" i="15"/>
  <c r="AF28" i="15"/>
  <c r="AD28" i="15"/>
  <c r="AC28" i="15"/>
  <c r="Z28" i="15"/>
  <c r="Y28" i="15"/>
  <c r="V28" i="15"/>
  <c r="U28" i="15"/>
  <c r="T28" i="15"/>
  <c r="S28" i="15"/>
  <c r="R28" i="15"/>
  <c r="P28" i="15"/>
  <c r="L28" i="15"/>
  <c r="K28" i="15"/>
  <c r="J28" i="15"/>
  <c r="H28" i="15"/>
  <c r="AO27" i="15"/>
  <c r="AN27" i="15"/>
  <c r="AN31" i="15" s="1"/>
  <c r="AM27" i="15"/>
  <c r="AM31" i="15" s="1"/>
  <c r="AK27" i="15"/>
  <c r="AJ27" i="15"/>
  <c r="AI27" i="15"/>
  <c r="AH27" i="15"/>
  <c r="AG27" i="15"/>
  <c r="AF27" i="15"/>
  <c r="AD27" i="15"/>
  <c r="AC27" i="15"/>
  <c r="Z27" i="15"/>
  <c r="Y27" i="15"/>
  <c r="V27" i="15"/>
  <c r="T27" i="15"/>
  <c r="S27" i="15"/>
  <c r="R27" i="15"/>
  <c r="P27" i="15"/>
  <c r="L27" i="15"/>
  <c r="K27" i="15"/>
  <c r="J27" i="15"/>
  <c r="H27" i="15"/>
  <c r="I23" i="15"/>
  <c r="I40" i="15" s="1"/>
  <c r="G23" i="15"/>
  <c r="G40" i="15" s="1"/>
  <c r="F23" i="15"/>
  <c r="E23" i="15"/>
  <c r="AB22" i="15"/>
  <c r="AO21" i="15"/>
  <c r="AN21" i="15"/>
  <c r="AM21" i="15"/>
  <c r="AL21" i="15"/>
  <c r="AK21" i="15"/>
  <c r="AJ21" i="15"/>
  <c r="AI21" i="15"/>
  <c r="AH21" i="15"/>
  <c r="AG21" i="15"/>
  <c r="AF21" i="15"/>
  <c r="AD21" i="15"/>
  <c r="AC21" i="15"/>
  <c r="Z21" i="15"/>
  <c r="Y21" i="15"/>
  <c r="V21" i="15"/>
  <c r="U21" i="15"/>
  <c r="T21" i="15"/>
  <c r="S21" i="15"/>
  <c r="R21" i="15"/>
  <c r="Q21" i="15"/>
  <c r="P21" i="15"/>
  <c r="L21" i="15"/>
  <c r="K21" i="15"/>
  <c r="J21" i="15"/>
  <c r="H21" i="15"/>
  <c r="AO20" i="15"/>
  <c r="AN20" i="15"/>
  <c r="AM20" i="15"/>
  <c r="AK20" i="15"/>
  <c r="AJ20" i="15"/>
  <c r="AI20" i="15"/>
  <c r="AH20" i="15"/>
  <c r="AG20" i="15"/>
  <c r="AF20" i="15"/>
  <c r="AD20" i="15"/>
  <c r="AC20" i="15"/>
  <c r="Z20" i="15"/>
  <c r="Y20" i="15"/>
  <c r="V20" i="15"/>
  <c r="U20" i="15"/>
  <c r="T20" i="15"/>
  <c r="S20" i="15"/>
  <c r="R20" i="15"/>
  <c r="Q20" i="15"/>
  <c r="P20" i="15"/>
  <c r="L20" i="15"/>
  <c r="K20" i="15"/>
  <c r="J20" i="15"/>
  <c r="H20" i="15"/>
  <c r="AO19" i="15"/>
  <c r="AN19" i="15"/>
  <c r="AM19" i="15"/>
  <c r="AL19" i="15"/>
  <c r="AK19" i="15"/>
  <c r="AJ19" i="15"/>
  <c r="AI19" i="15"/>
  <c r="AH19" i="15"/>
  <c r="AG19" i="15"/>
  <c r="AF19" i="15"/>
  <c r="AD19" i="15"/>
  <c r="AC19" i="15"/>
  <c r="Z19" i="15"/>
  <c r="Y19" i="15"/>
  <c r="V19" i="15"/>
  <c r="U19" i="15"/>
  <c r="T19" i="15"/>
  <c r="S19" i="15"/>
  <c r="R19" i="15"/>
  <c r="Q19" i="15"/>
  <c r="P19" i="15"/>
  <c r="L19" i="15"/>
  <c r="K19" i="15"/>
  <c r="J19" i="15"/>
  <c r="H19" i="15"/>
  <c r="AO18" i="15"/>
  <c r="AN18" i="15"/>
  <c r="AM18" i="15"/>
  <c r="AL18" i="15"/>
  <c r="AK18" i="15"/>
  <c r="AJ18" i="15"/>
  <c r="AI18" i="15"/>
  <c r="AH18" i="15"/>
  <c r="AG18" i="15"/>
  <c r="AF18" i="15"/>
  <c r="AD18" i="15"/>
  <c r="AC18" i="15"/>
  <c r="Z18" i="15"/>
  <c r="Y18" i="15"/>
  <c r="V18" i="15"/>
  <c r="U18" i="15"/>
  <c r="T18" i="15"/>
  <c r="S18" i="15"/>
  <c r="R18" i="15"/>
  <c r="Q18" i="15"/>
  <c r="P18" i="15"/>
  <c r="L18" i="15"/>
  <c r="K18" i="15"/>
  <c r="J18" i="15"/>
  <c r="H18" i="15"/>
  <c r="AO17" i="15"/>
  <c r="AN17" i="15"/>
  <c r="AM17" i="15"/>
  <c r="AL17" i="15"/>
  <c r="AK17" i="15"/>
  <c r="AJ17" i="15"/>
  <c r="AI17" i="15"/>
  <c r="AH17" i="15"/>
  <c r="AG17" i="15"/>
  <c r="AF17" i="15"/>
  <c r="AD17" i="15"/>
  <c r="AC17" i="15"/>
  <c r="Z17" i="15"/>
  <c r="Y17" i="15"/>
  <c r="V17" i="15"/>
  <c r="U17" i="15"/>
  <c r="T17" i="15"/>
  <c r="S17" i="15"/>
  <c r="R17" i="15"/>
  <c r="Q17" i="15"/>
  <c r="P17" i="15"/>
  <c r="L17" i="15"/>
  <c r="K17" i="15"/>
  <c r="J17" i="15"/>
  <c r="H17" i="15"/>
  <c r="AE16" i="15"/>
  <c r="AB16" i="15"/>
  <c r="AA16" i="15"/>
  <c r="O16" i="15"/>
  <c r="N16" i="15"/>
  <c r="M16" i="15"/>
  <c r="H16" i="15"/>
  <c r="AO15" i="15"/>
  <c r="AN15" i="15"/>
  <c r="AM15" i="15"/>
  <c r="AL15" i="15"/>
  <c r="AK15" i="15"/>
  <c r="AJ15" i="15"/>
  <c r="AI15" i="15"/>
  <c r="AH15" i="15"/>
  <c r="AG15" i="15"/>
  <c r="AF15" i="15"/>
  <c r="AD15" i="15"/>
  <c r="AC15" i="15"/>
  <c r="Z15" i="15"/>
  <c r="Y15" i="15"/>
  <c r="V15" i="15"/>
  <c r="U15" i="15"/>
  <c r="T15" i="15"/>
  <c r="S15" i="15"/>
  <c r="R15" i="15"/>
  <c r="P15" i="15"/>
  <c r="L15" i="15"/>
  <c r="K15" i="15"/>
  <c r="J15" i="15"/>
  <c r="H15" i="15"/>
  <c r="AO14" i="15"/>
  <c r="AN14" i="15"/>
  <c r="AM14" i="15"/>
  <c r="AL14" i="15"/>
  <c r="AK14" i="15"/>
  <c r="AJ14" i="15"/>
  <c r="AI14" i="15"/>
  <c r="AH14" i="15"/>
  <c r="AG14" i="15"/>
  <c r="AF14" i="15"/>
  <c r="AD14" i="15"/>
  <c r="AC14" i="15"/>
  <c r="Z14" i="15"/>
  <c r="Y14" i="15"/>
  <c r="V14" i="15"/>
  <c r="U14" i="15"/>
  <c r="T14" i="15"/>
  <c r="S14" i="15"/>
  <c r="R14" i="15"/>
  <c r="Q14" i="15"/>
  <c r="P14" i="15"/>
  <c r="L14" i="15"/>
  <c r="K14" i="15"/>
  <c r="J14" i="15"/>
  <c r="H14" i="15"/>
  <c r="AO13" i="15"/>
  <c r="AK13" i="15"/>
  <c r="AJ13" i="15"/>
  <c r="AH13" i="15"/>
  <c r="AG13" i="15"/>
  <c r="AF13" i="15"/>
  <c r="AD13" i="15"/>
  <c r="AC13" i="15"/>
  <c r="Z13" i="15"/>
  <c r="Y13" i="15"/>
  <c r="V13" i="15"/>
  <c r="U13" i="15"/>
  <c r="S13" i="15"/>
  <c r="R13" i="15"/>
  <c r="P13" i="15"/>
  <c r="L13" i="15"/>
  <c r="K13" i="15"/>
  <c r="J13" i="15"/>
  <c r="H13" i="15"/>
  <c r="AO12" i="15"/>
  <c r="AN12" i="15"/>
  <c r="AN13" i="15" s="1"/>
  <c r="AM12" i="15"/>
  <c r="AM13" i="15" s="1"/>
  <c r="AL12" i="15"/>
  <c r="AK12" i="15"/>
  <c r="AJ12" i="15"/>
  <c r="AI12" i="15"/>
  <c r="AI13" i="15" s="1"/>
  <c r="AD12" i="15"/>
  <c r="AB12" i="15" s="1"/>
  <c r="AA12" i="15"/>
  <c r="Z12" i="15"/>
  <c r="W12" i="15"/>
  <c r="V12" i="15"/>
  <c r="T12" i="15"/>
  <c r="T13" i="15" s="1"/>
  <c r="R12" i="15"/>
  <c r="P12" i="15"/>
  <c r="N12" i="15"/>
  <c r="L12" i="15"/>
  <c r="O12" i="15" s="1"/>
  <c r="H12" i="15"/>
  <c r="AB11" i="15"/>
  <c r="AA11" i="15"/>
  <c r="O11" i="15"/>
  <c r="N11" i="15"/>
  <c r="H11" i="15"/>
  <c r="AO10" i="15"/>
  <c r="AN10" i="15"/>
  <c r="AM10" i="15"/>
  <c r="AL10" i="15"/>
  <c r="AF10" i="15"/>
  <c r="AD10" i="15"/>
  <c r="Z10" i="15"/>
  <c r="V10" i="15"/>
  <c r="U10" i="15"/>
  <c r="T10" i="15"/>
  <c r="S10" i="15"/>
  <c r="R10" i="15"/>
  <c r="P10" i="15"/>
  <c r="O10" i="15"/>
  <c r="L10" i="15"/>
  <c r="K10" i="15"/>
  <c r="J10" i="15"/>
  <c r="H10" i="15"/>
  <c r="AO8" i="15"/>
  <c r="AN8" i="15"/>
  <c r="AM8" i="15"/>
  <c r="AL8" i="15"/>
  <c r="AK8" i="15"/>
  <c r="AJ8" i="15"/>
  <c r="AI8" i="15"/>
  <c r="AH8" i="15"/>
  <c r="AG8" i="15"/>
  <c r="AF8" i="15"/>
  <c r="AD8" i="15"/>
  <c r="AC8" i="15"/>
  <c r="Z8" i="15"/>
  <c r="Y8" i="15"/>
  <c r="V8" i="15"/>
  <c r="U8" i="15"/>
  <c r="T8" i="15"/>
  <c r="S8" i="15"/>
  <c r="R8" i="15"/>
  <c r="Q8" i="15"/>
  <c r="P8" i="15"/>
  <c r="O8" i="15"/>
  <c r="M8" i="15"/>
  <c r="L8" i="15"/>
  <c r="K8" i="15"/>
  <c r="J8" i="15"/>
  <c r="H8" i="15"/>
  <c r="AB19" i="15" l="1"/>
  <c r="N21" i="15"/>
  <c r="AB28" i="15"/>
  <c r="R42" i="15"/>
  <c r="AC31" i="15"/>
  <c r="X12" i="15"/>
  <c r="P31" i="15"/>
  <c r="AH31" i="15"/>
  <c r="X10" i="15"/>
  <c r="N13" i="15"/>
  <c r="N27" i="15"/>
  <c r="AL42" i="15"/>
  <c r="S56" i="11"/>
  <c r="C50" i="5"/>
  <c r="Q62" i="11"/>
  <c r="E50" i="5"/>
  <c r="Q30" i="11"/>
  <c r="C52" i="5"/>
  <c r="C53" i="5" s="1"/>
  <c r="S39" i="11"/>
  <c r="C49" i="5"/>
  <c r="Q49" i="11"/>
  <c r="Q42" i="11"/>
  <c r="X17" i="15"/>
  <c r="L31" i="15"/>
  <c r="AB13" i="15"/>
  <c r="N14" i="15"/>
  <c r="N17" i="15"/>
  <c r="AB21" i="15"/>
  <c r="R31" i="15"/>
  <c r="AF31" i="15"/>
  <c r="AJ31" i="15"/>
  <c r="Z31" i="15"/>
  <c r="AB15" i="15"/>
  <c r="AB17" i="15"/>
  <c r="X18" i="15"/>
  <c r="AE19" i="15"/>
  <c r="X21" i="15"/>
  <c r="W15" i="15"/>
  <c r="AB18" i="15"/>
  <c r="AE28" i="15"/>
  <c r="M10" i="15"/>
  <c r="AE10" i="15"/>
  <c r="X14" i="15"/>
  <c r="O15" i="15"/>
  <c r="AA19" i="15"/>
  <c r="W20" i="15"/>
  <c r="AL20" i="15"/>
  <c r="T31" i="15"/>
  <c r="X28" i="15"/>
  <c r="Y23" i="15"/>
  <c r="AF23" i="15"/>
  <c r="AF40" i="15" s="1"/>
  <c r="AJ23" i="15"/>
  <c r="AN23" i="15"/>
  <c r="AN40" i="15" s="1"/>
  <c r="M13" i="15"/>
  <c r="W13" i="15"/>
  <c r="AE13" i="15"/>
  <c r="AL13" i="15"/>
  <c r="M14" i="15"/>
  <c r="AB14" i="15"/>
  <c r="X27" i="15"/>
  <c r="AB27" i="15"/>
  <c r="W28" i="15"/>
  <c r="AA28" i="15"/>
  <c r="X35" i="15"/>
  <c r="X38" i="15" s="1"/>
  <c r="Q22" i="11"/>
  <c r="G43" i="5" s="1"/>
  <c r="Q74" i="11"/>
  <c r="S60" i="11"/>
  <c r="Q10" i="11"/>
  <c r="Q45" i="11"/>
  <c r="Q43" i="11"/>
  <c r="S49" i="11"/>
  <c r="Q57" i="11"/>
  <c r="L72" i="11"/>
  <c r="Q59" i="11"/>
  <c r="Q76" i="11"/>
  <c r="S61" i="11"/>
  <c r="S69" i="11"/>
  <c r="S70" i="11"/>
  <c r="S58" i="11"/>
  <c r="S54" i="11"/>
  <c r="L53" i="11"/>
  <c r="S20" i="11"/>
  <c r="Q13" i="11"/>
  <c r="S73" i="11"/>
  <c r="Q66" i="11"/>
  <c r="M53" i="11"/>
  <c r="S35" i="11"/>
  <c r="O11" i="11"/>
  <c r="S52" i="11"/>
  <c r="Q63" i="11"/>
  <c r="Q51" i="11"/>
  <c r="E75" i="11"/>
  <c r="E77" i="11" s="1"/>
  <c r="L25" i="11"/>
  <c r="Q48" i="11"/>
  <c r="S62" i="11"/>
  <c r="Q71" i="11"/>
  <c r="Q52" i="11"/>
  <c r="S48" i="11"/>
  <c r="S57" i="11"/>
  <c r="O53" i="11"/>
  <c r="G11" i="11"/>
  <c r="K53" i="11"/>
  <c r="S45" i="11"/>
  <c r="Q19" i="11"/>
  <c r="S30" i="11"/>
  <c r="F75" i="11"/>
  <c r="F77" i="11" s="1"/>
  <c r="G53" i="11"/>
  <c r="Q39" i="11"/>
  <c r="G49" i="5" s="1"/>
  <c r="Q41" i="11"/>
  <c r="S41" i="11"/>
  <c r="S43" i="11"/>
  <c r="M8" i="11"/>
  <c r="Q8" i="11" s="1"/>
  <c r="G8" i="11"/>
  <c r="H46" i="11"/>
  <c r="O46" i="11"/>
  <c r="S13" i="11"/>
  <c r="Q54" i="11"/>
  <c r="Q32" i="11"/>
  <c r="S32" i="11"/>
  <c r="S66" i="11"/>
  <c r="Q73" i="11"/>
  <c r="O37" i="11"/>
  <c r="H37" i="11"/>
  <c r="G37" i="11"/>
  <c r="S71" i="11"/>
  <c r="K68" i="11"/>
  <c r="L68" i="11"/>
  <c r="S51" i="11"/>
  <c r="K37" i="11"/>
  <c r="J75" i="11"/>
  <c r="J77" i="11" s="1"/>
  <c r="H72" i="11"/>
  <c r="O72" i="11"/>
  <c r="E26" i="11"/>
  <c r="M25" i="11"/>
  <c r="C45" i="5" s="1"/>
  <c r="L46" i="11"/>
  <c r="K46" i="11"/>
  <c r="L37" i="11"/>
  <c r="Q70" i="11"/>
  <c r="S44" i="11"/>
  <c r="Q44" i="11"/>
  <c r="Q56" i="11"/>
  <c r="Q37" i="11"/>
  <c r="O14" i="11"/>
  <c r="H14" i="11"/>
  <c r="Q67" i="11"/>
  <c r="S67" i="11"/>
  <c r="K72" i="11"/>
  <c r="Q69" i="11"/>
  <c r="G46" i="11"/>
  <c r="F25" i="11"/>
  <c r="G72" i="11"/>
  <c r="M72" i="11"/>
  <c r="S74" i="11"/>
  <c r="G68" i="11"/>
  <c r="M68" i="11"/>
  <c r="Q68" i="11" s="1"/>
  <c r="Q20" i="11"/>
  <c r="I75" i="11"/>
  <c r="K25" i="11"/>
  <c r="I26" i="11"/>
  <c r="Q58" i="11"/>
  <c r="Q60" i="11"/>
  <c r="Q55" i="11"/>
  <c r="S22" i="11"/>
  <c r="AM23" i="15"/>
  <c r="AM40" i="15" s="1"/>
  <c r="AD31" i="15"/>
  <c r="T23" i="15"/>
  <c r="AB10" i="15"/>
  <c r="M12" i="15"/>
  <c r="AI23" i="15"/>
  <c r="X13" i="15"/>
  <c r="O17" i="15"/>
  <c r="W17" i="15"/>
  <c r="AE18" i="15"/>
  <c r="X20" i="15"/>
  <c r="AB20" i="15"/>
  <c r="O21" i="15"/>
  <c r="W21" i="15"/>
  <c r="K31" i="15"/>
  <c r="Y31" i="15"/>
  <c r="AO31" i="15"/>
  <c r="AM42" i="15"/>
  <c r="AA14" i="15"/>
  <c r="AE20" i="15"/>
  <c r="L23" i="15"/>
  <c r="Q23" i="15"/>
  <c r="Q40" i="15" s="1"/>
  <c r="O13" i="15"/>
  <c r="AA13" i="15"/>
  <c r="O14" i="15"/>
  <c r="W14" i="15"/>
  <c r="X15" i="15"/>
  <c r="K23" i="15"/>
  <c r="X19" i="15"/>
  <c r="AA20" i="15"/>
  <c r="AE21" i="15"/>
  <c r="S31" i="15"/>
  <c r="AG31" i="15"/>
  <c r="AK31" i="15"/>
  <c r="V31" i="15"/>
  <c r="M35" i="15"/>
  <c r="M38" i="15" s="1"/>
  <c r="AL35" i="15"/>
  <c r="AL38" i="15" s="1"/>
  <c r="O42" i="15"/>
  <c r="AN42" i="15"/>
  <c r="N10" i="15"/>
  <c r="AA10" i="15"/>
  <c r="AE14" i="15"/>
  <c r="M17" i="15"/>
  <c r="AA17" i="15"/>
  <c r="O18" i="15"/>
  <c r="S23" i="15"/>
  <c r="M21" i="15"/>
  <c r="AA21" i="15"/>
  <c r="H31" i="15"/>
  <c r="AL27" i="15"/>
  <c r="AL31" i="15" s="1"/>
  <c r="T38" i="15"/>
  <c r="AO42" i="15"/>
  <c r="M20" i="15"/>
  <c r="O20" i="15"/>
  <c r="P23" i="15"/>
  <c r="AG23" i="15"/>
  <c r="AO23" i="15"/>
  <c r="AO40" i="15" s="1"/>
  <c r="AI31" i="15"/>
  <c r="H23" i="15"/>
  <c r="U23" i="15"/>
  <c r="AH23" i="15"/>
  <c r="AA15" i="15"/>
  <c r="O19" i="15"/>
  <c r="W19" i="15"/>
  <c r="M27" i="15"/>
  <c r="O27" i="15"/>
  <c r="W35" i="15"/>
  <c r="W38" i="15" s="1"/>
  <c r="U38" i="15"/>
  <c r="AB35" i="15"/>
  <c r="AD38" i="15"/>
  <c r="M28" i="15"/>
  <c r="O28" i="15"/>
  <c r="AA35" i="15"/>
  <c r="AA38" i="15" s="1"/>
  <c r="Y38" i="15"/>
  <c r="AE35" i="15"/>
  <c r="AE38" i="15" s="1"/>
  <c r="Z23" i="15"/>
  <c r="AK23" i="15"/>
  <c r="AE15" i="15"/>
  <c r="F44" i="15"/>
  <c r="AC23" i="15"/>
  <c r="AC40" i="15" s="1"/>
  <c r="J23" i="15"/>
  <c r="N8" i="15"/>
  <c r="R23" i="15"/>
  <c r="R40" i="15" s="1"/>
  <c r="V23" i="15"/>
  <c r="X8" i="15"/>
  <c r="AD23" i="15"/>
  <c r="AB8" i="15"/>
  <c r="AE17" i="15"/>
  <c r="N19" i="15"/>
  <c r="N20" i="15"/>
  <c r="N28" i="15"/>
  <c r="J31" i="15"/>
  <c r="L40" i="15"/>
  <c r="W8" i="15"/>
  <c r="AA8" i="15"/>
  <c r="AE8" i="15"/>
  <c r="W10" i="15"/>
  <c r="M15" i="15"/>
  <c r="M18" i="15"/>
  <c r="N35" i="15"/>
  <c r="N38" i="15" s="1"/>
  <c r="T42" i="15"/>
  <c r="X42" i="15"/>
  <c r="AB42" i="15"/>
  <c r="AF42" i="15"/>
  <c r="N15" i="15"/>
  <c r="N18" i="15"/>
  <c r="M19" i="15"/>
  <c r="U27" i="15"/>
  <c r="O35" i="15"/>
  <c r="O38" i="15" s="1"/>
  <c r="AH38" i="15"/>
  <c r="X44" i="15"/>
  <c r="W18" i="15"/>
  <c r="AA18" i="15"/>
  <c r="J40" i="14"/>
  <c r="F40" i="14"/>
  <c r="C40" i="14"/>
  <c r="J39" i="14"/>
  <c r="F39" i="14"/>
  <c r="C39" i="14"/>
  <c r="J35" i="14"/>
  <c r="F35" i="14"/>
  <c r="F37" i="14" s="1"/>
  <c r="F42" i="14" s="1"/>
  <c r="D35" i="14"/>
  <c r="C35" i="14"/>
  <c r="B35" i="14"/>
  <c r="L33" i="14"/>
  <c r="K33" i="14"/>
  <c r="I33" i="14"/>
  <c r="H33" i="14"/>
  <c r="G33" i="14"/>
  <c r="E33" i="14"/>
  <c r="U32" i="14"/>
  <c r="U35" i="14" s="1"/>
  <c r="T32" i="14"/>
  <c r="Z32" i="14" s="1"/>
  <c r="S32" i="14"/>
  <c r="S35" i="14" s="1"/>
  <c r="Q32" i="14"/>
  <c r="Q35" i="14" s="1"/>
  <c r="O32" i="14"/>
  <c r="O35" i="14" s="1"/>
  <c r="N32" i="14"/>
  <c r="N35" i="14" s="1"/>
  <c r="M32" i="14"/>
  <c r="M35" i="14" s="1"/>
  <c r="L32" i="14"/>
  <c r="K32" i="14"/>
  <c r="I32" i="14"/>
  <c r="H32" i="14"/>
  <c r="H35" i="14" s="1"/>
  <c r="G32" i="14"/>
  <c r="E32" i="14"/>
  <c r="W28" i="14"/>
  <c r="V28" i="14"/>
  <c r="F28" i="14"/>
  <c r="F41" i="14" s="1"/>
  <c r="C28" i="14"/>
  <c r="C37" i="14" s="1"/>
  <c r="C42" i="14" s="1"/>
  <c r="B28" i="14"/>
  <c r="B37" i="14" s="1"/>
  <c r="AB26" i="14"/>
  <c r="AA26" i="14"/>
  <c r="Z26" i="14"/>
  <c r="U26" i="14"/>
  <c r="T26" i="14"/>
  <c r="R26" i="14" s="1"/>
  <c r="S26" i="14"/>
  <c r="Q26" i="14"/>
  <c r="P26" i="14"/>
  <c r="O26" i="14"/>
  <c r="N26" i="14"/>
  <c r="M26" i="14"/>
  <c r="L26" i="14"/>
  <c r="K26" i="14"/>
  <c r="I26" i="14"/>
  <c r="H26" i="14"/>
  <c r="G26" i="14"/>
  <c r="E26" i="14"/>
  <c r="AB25" i="14"/>
  <c r="AA25" i="14"/>
  <c r="Z25" i="14"/>
  <c r="X25" i="14"/>
  <c r="X28" i="14" s="1"/>
  <c r="W25" i="14"/>
  <c r="T25" i="14"/>
  <c r="R25" i="14"/>
  <c r="O25" i="14"/>
  <c r="M25" i="14"/>
  <c r="L25" i="14"/>
  <c r="K25" i="14"/>
  <c r="J25" i="14"/>
  <c r="J28" i="14" s="1"/>
  <c r="J41" i="14" s="1"/>
  <c r="I25" i="14"/>
  <c r="H25" i="14"/>
  <c r="G25" i="14"/>
  <c r="E25" i="14"/>
  <c r="U24" i="14"/>
  <c r="T24" i="14"/>
  <c r="Z24" i="14" s="1"/>
  <c r="AA24" i="14" s="1"/>
  <c r="S24" i="14"/>
  <c r="R24" i="14"/>
  <c r="Q24" i="14"/>
  <c r="P24" i="14"/>
  <c r="O24" i="14"/>
  <c r="N24" i="14"/>
  <c r="M24" i="14"/>
  <c r="L24" i="14"/>
  <c r="K24" i="14"/>
  <c r="I24" i="14"/>
  <c r="H24" i="14"/>
  <c r="G24" i="14"/>
  <c r="E24" i="14"/>
  <c r="D24" i="14"/>
  <c r="AB23" i="14"/>
  <c r="AA23" i="14"/>
  <c r="Z23" i="14"/>
  <c r="U23" i="14"/>
  <c r="T23" i="14"/>
  <c r="P23" i="14" s="1"/>
  <c r="S23" i="14"/>
  <c r="Q23" i="14"/>
  <c r="O23" i="14"/>
  <c r="M23" i="14"/>
  <c r="L23" i="14"/>
  <c r="K23" i="14"/>
  <c r="I23" i="14"/>
  <c r="H23" i="14"/>
  <c r="G23" i="14"/>
  <c r="E23" i="14"/>
  <c r="AB22" i="14"/>
  <c r="AA22" i="14"/>
  <c r="Z22" i="14"/>
  <c r="U22" i="14"/>
  <c r="T22" i="14"/>
  <c r="R22" i="14" s="1"/>
  <c r="S22" i="14"/>
  <c r="Q22" i="14"/>
  <c r="O22" i="14"/>
  <c r="M22" i="14"/>
  <c r="L22" i="14"/>
  <c r="K22" i="14"/>
  <c r="I22" i="14"/>
  <c r="H22" i="14"/>
  <c r="G22" i="14"/>
  <c r="E22" i="14"/>
  <c r="AB21" i="14"/>
  <c r="AA21" i="14"/>
  <c r="Z21" i="14"/>
  <c r="U21" i="14"/>
  <c r="T21" i="14"/>
  <c r="S21" i="14"/>
  <c r="Q21" i="14"/>
  <c r="O21" i="14"/>
  <c r="M21" i="14"/>
  <c r="L21" i="14"/>
  <c r="K21" i="14"/>
  <c r="I21" i="14"/>
  <c r="H21" i="14"/>
  <c r="G21" i="14"/>
  <c r="E21" i="14"/>
  <c r="D21" i="14"/>
  <c r="D40" i="14" s="1"/>
  <c r="J17" i="14"/>
  <c r="F17" i="14"/>
  <c r="D17" i="14"/>
  <c r="C17" i="14"/>
  <c r="B17" i="14"/>
  <c r="V15" i="14"/>
  <c r="W15" i="14" s="1"/>
  <c r="X15" i="14" s="1"/>
  <c r="Y15" i="14" s="1"/>
  <c r="U15" i="14"/>
  <c r="T15" i="14"/>
  <c r="Z15" i="14" s="1"/>
  <c r="AA15" i="14" s="1"/>
  <c r="AB15" i="14" s="1"/>
  <c r="S15" i="14"/>
  <c r="Q15" i="14"/>
  <c r="O15" i="14"/>
  <c r="N15" i="14"/>
  <c r="P15" i="14" s="1"/>
  <c r="R15" i="14" s="1"/>
  <c r="M15" i="14"/>
  <c r="L15" i="14"/>
  <c r="K15" i="14"/>
  <c r="I15" i="14"/>
  <c r="H15" i="14"/>
  <c r="G15" i="14"/>
  <c r="E15" i="14"/>
  <c r="T14" i="14"/>
  <c r="Z14" i="14" s="1"/>
  <c r="AA14" i="14" s="1"/>
  <c r="AB14" i="14" s="1"/>
  <c r="AB13" i="14"/>
  <c r="AA13" i="14"/>
  <c r="Z13" i="14"/>
  <c r="U13" i="14"/>
  <c r="T13" i="14"/>
  <c r="S13" i="14"/>
  <c r="Q13" i="14"/>
  <c r="O13" i="14"/>
  <c r="M13" i="14"/>
  <c r="L13" i="14"/>
  <c r="K13" i="14"/>
  <c r="I13" i="14"/>
  <c r="H13" i="14"/>
  <c r="G13" i="14"/>
  <c r="E13" i="14"/>
  <c r="AB12" i="14"/>
  <c r="AA12" i="14"/>
  <c r="Z12" i="14"/>
  <c r="U12" i="14"/>
  <c r="T12" i="14"/>
  <c r="S12" i="14"/>
  <c r="Q12" i="14"/>
  <c r="O12" i="14"/>
  <c r="M12" i="14"/>
  <c r="L12" i="14"/>
  <c r="K12" i="14"/>
  <c r="I12" i="14"/>
  <c r="H12" i="14"/>
  <c r="G12" i="14"/>
  <c r="E12" i="14"/>
  <c r="AB11" i="14"/>
  <c r="AA11" i="14"/>
  <c r="Z11" i="14"/>
  <c r="U11" i="14"/>
  <c r="T11" i="14"/>
  <c r="S11" i="14"/>
  <c r="Q11" i="14"/>
  <c r="O11" i="14"/>
  <c r="M11" i="14"/>
  <c r="L11" i="14"/>
  <c r="K11" i="14"/>
  <c r="I11" i="14"/>
  <c r="H11" i="14"/>
  <c r="G11" i="14"/>
  <c r="E11" i="14"/>
  <c r="U9" i="14"/>
  <c r="T9" i="14"/>
  <c r="Z9" i="14" s="1"/>
  <c r="AA9" i="14" s="1"/>
  <c r="AB9" i="14" s="1"/>
  <c r="S9" i="14"/>
  <c r="Q9" i="14"/>
  <c r="O9" i="14"/>
  <c r="N9" i="14"/>
  <c r="M9" i="14"/>
  <c r="L9" i="14"/>
  <c r="K9" i="14"/>
  <c r="I9" i="14"/>
  <c r="H9" i="14"/>
  <c r="G9" i="14"/>
  <c r="E9" i="14"/>
  <c r="U8" i="14"/>
  <c r="S8" i="14"/>
  <c r="Q8" i="14"/>
  <c r="O8" i="14"/>
  <c r="M8" i="14"/>
  <c r="L8" i="14"/>
  <c r="K8" i="14"/>
  <c r="I8" i="14"/>
  <c r="H8" i="14"/>
  <c r="G8" i="14"/>
  <c r="E8" i="14"/>
  <c r="R44" i="15" l="1"/>
  <c r="AJ40" i="15"/>
  <c r="X31" i="15"/>
  <c r="X40" i="15" s="1"/>
  <c r="N31" i="15"/>
  <c r="H40" i="15"/>
  <c r="P40" i="15"/>
  <c r="P44" i="15" s="1"/>
  <c r="T40" i="15"/>
  <c r="Z40" i="15"/>
  <c r="AG40" i="15"/>
  <c r="U47" i="14"/>
  <c r="AH40" i="15"/>
  <c r="S14" i="11"/>
  <c r="E44" i="5"/>
  <c r="G50" i="5"/>
  <c r="S37" i="11"/>
  <c r="E53" i="5"/>
  <c r="S11" i="11"/>
  <c r="E42" i="5"/>
  <c r="G52" i="5"/>
  <c r="G53" i="5" s="1"/>
  <c r="K28" i="14"/>
  <c r="K41" i="14" s="1"/>
  <c r="Q28" i="14"/>
  <c r="Q37" i="14" s="1"/>
  <c r="Q17" i="14" s="1"/>
  <c r="AB23" i="15"/>
  <c r="K40" i="15"/>
  <c r="X23" i="15"/>
  <c r="S40" i="15"/>
  <c r="AB31" i="15"/>
  <c r="AL23" i="15"/>
  <c r="AL40" i="15" s="1"/>
  <c r="L17" i="14"/>
  <c r="T35" i="14"/>
  <c r="V40" i="15"/>
  <c r="L28" i="14"/>
  <c r="S28" i="14"/>
  <c r="S37" i="14" s="1"/>
  <c r="S17" i="14" s="1"/>
  <c r="L35" i="14"/>
  <c r="O31" i="15"/>
  <c r="E39" i="14"/>
  <c r="K40" i="14"/>
  <c r="H28" i="14"/>
  <c r="H37" i="14" s="1"/>
  <c r="H42" i="14" s="1"/>
  <c r="M28" i="14"/>
  <c r="M37" i="14" s="1"/>
  <c r="T28" i="14"/>
  <c r="AK40" i="15"/>
  <c r="O23" i="15"/>
  <c r="G40" i="14"/>
  <c r="AI40" i="15"/>
  <c r="K75" i="11"/>
  <c r="Q14" i="11"/>
  <c r="G44" i="5" s="1"/>
  <c r="G77" i="11"/>
  <c r="Q11" i="11"/>
  <c r="G42" i="5" s="1"/>
  <c r="O75" i="11"/>
  <c r="E51" i="5" s="1"/>
  <c r="S53" i="11"/>
  <c r="G75" i="11"/>
  <c r="H75" i="11"/>
  <c r="Q72" i="11"/>
  <c r="S68" i="11"/>
  <c r="Q53" i="11"/>
  <c r="K26" i="11"/>
  <c r="L26" i="11"/>
  <c r="J78" i="11"/>
  <c r="E78" i="11"/>
  <c r="M26" i="11"/>
  <c r="S72" i="11"/>
  <c r="I77" i="11"/>
  <c r="L77" i="11" s="1"/>
  <c r="O77" i="11"/>
  <c r="H77" i="11"/>
  <c r="S46" i="11"/>
  <c r="Q46" i="11"/>
  <c r="F26" i="11"/>
  <c r="O25" i="11"/>
  <c r="H25" i="11"/>
  <c r="G25" i="11"/>
  <c r="L75" i="11"/>
  <c r="M75" i="11"/>
  <c r="C51" i="5" s="1"/>
  <c r="H40" i="14"/>
  <c r="M17" i="14"/>
  <c r="U17" i="14"/>
  <c r="E17" i="14"/>
  <c r="U28" i="14"/>
  <c r="U37" i="14" s="1"/>
  <c r="P22" i="14"/>
  <c r="M23" i="15"/>
  <c r="AA23" i="15"/>
  <c r="J40" i="15"/>
  <c r="Y40" i="15"/>
  <c r="I17" i="14"/>
  <c r="O17" i="14"/>
  <c r="I28" i="14"/>
  <c r="N21" i="14"/>
  <c r="R21" i="14"/>
  <c r="R28" i="14" s="1"/>
  <c r="Z28" i="14"/>
  <c r="G28" i="14"/>
  <c r="G41" i="14" s="1"/>
  <c r="G35" i="14"/>
  <c r="P32" i="14"/>
  <c r="I35" i="14"/>
  <c r="W23" i="15"/>
  <c r="P21" i="14"/>
  <c r="P28" i="14" s="1"/>
  <c r="O28" i="14"/>
  <c r="O37" i="14" s="1"/>
  <c r="H17" i="14"/>
  <c r="G39" i="14"/>
  <c r="L40" i="14"/>
  <c r="E28" i="14"/>
  <c r="E35" i="14"/>
  <c r="K35" i="14"/>
  <c r="AD40" i="15"/>
  <c r="AB40" i="15" s="1"/>
  <c r="AB38" i="15"/>
  <c r="N23" i="15"/>
  <c r="F46" i="15"/>
  <c r="G42" i="15"/>
  <c r="G44" i="15" s="1"/>
  <c r="M31" i="15"/>
  <c r="U31" i="15"/>
  <c r="U40" i="15" s="1"/>
  <c r="W27" i="15"/>
  <c r="W31" i="15" s="1"/>
  <c r="AE27" i="15"/>
  <c r="AE31" i="15" s="1"/>
  <c r="AA27" i="15"/>
  <c r="AA31" i="15" s="1"/>
  <c r="N40" i="15"/>
  <c r="AE23" i="15"/>
  <c r="H41" i="14"/>
  <c r="Z35" i="14"/>
  <c r="AA32" i="14"/>
  <c r="J37" i="14"/>
  <c r="J42" i="14" s="1"/>
  <c r="AB24" i="14"/>
  <c r="AB28" i="14" s="1"/>
  <c r="AA28" i="14"/>
  <c r="P9" i="14"/>
  <c r="R9" i="14" s="1"/>
  <c r="C41" i="14"/>
  <c r="Y25" i="14"/>
  <c r="Y28" i="14" s="1"/>
  <c r="D28" i="14"/>
  <c r="V32" i="14"/>
  <c r="D39" i="14"/>
  <c r="H39" i="14"/>
  <c r="E40" i="14"/>
  <c r="I40" i="14"/>
  <c r="Y9" i="14"/>
  <c r="G17" i="14"/>
  <c r="K17" i="14"/>
  <c r="N22" i="14"/>
  <c r="I39" i="14"/>
  <c r="K37" i="14" l="1"/>
  <c r="K42" i="14" s="1"/>
  <c r="I41" i="14"/>
  <c r="W40" i="15"/>
  <c r="L37" i="14"/>
  <c r="L42" i="14" s="1"/>
  <c r="E54" i="5"/>
  <c r="S25" i="11"/>
  <c r="E45" i="5"/>
  <c r="I37" i="14"/>
  <c r="I42" i="14" s="1"/>
  <c r="O40" i="15"/>
  <c r="O44" i="15" s="1"/>
  <c r="G37" i="14"/>
  <c r="G42" i="14" s="1"/>
  <c r="N28" i="14"/>
  <c r="N41" i="14" s="1"/>
  <c r="T41" i="14"/>
  <c r="L41" i="14"/>
  <c r="AE40" i="15"/>
  <c r="E37" i="14"/>
  <c r="E42" i="14" s="1"/>
  <c r="T37" i="14"/>
  <c r="AA40" i="15"/>
  <c r="M40" i="15"/>
  <c r="Q75" i="11"/>
  <c r="G51" i="5" s="1"/>
  <c r="F78" i="11"/>
  <c r="O26" i="11"/>
  <c r="S26" i="11" s="1"/>
  <c r="H26" i="11"/>
  <c r="E79" i="11"/>
  <c r="K77" i="11"/>
  <c r="M77" i="11"/>
  <c r="G26" i="11"/>
  <c r="I78" i="11"/>
  <c r="L78" i="11" s="1"/>
  <c r="Q25" i="11"/>
  <c r="G45" i="5" s="1"/>
  <c r="S75" i="11"/>
  <c r="J79" i="11"/>
  <c r="R32" i="14"/>
  <c r="R35" i="14" s="1"/>
  <c r="R41" i="14" s="1"/>
  <c r="P35" i="14"/>
  <c r="P37" i="14" s="1"/>
  <c r="E41" i="14"/>
  <c r="Z37" i="14"/>
  <c r="Z17" i="14" s="1"/>
  <c r="Z8" i="14" s="1"/>
  <c r="Z40" i="14" s="1"/>
  <c r="I42" i="15"/>
  <c r="I44" i="15" s="1"/>
  <c r="G46" i="15"/>
  <c r="D37" i="14"/>
  <c r="D42" i="14" s="1"/>
  <c r="D41" i="14"/>
  <c r="Z41" i="14"/>
  <c r="V35" i="14"/>
  <c r="V37" i="14" s="1"/>
  <c r="V17" i="14" s="1"/>
  <c r="V8" i="14" s="1"/>
  <c r="V47" i="14" s="1"/>
  <c r="W32" i="14"/>
  <c r="AA35" i="14"/>
  <c r="AA37" i="14" s="1"/>
  <c r="AB32" i="14"/>
  <c r="AB35" i="14" s="1"/>
  <c r="AB37" i="14" s="1"/>
  <c r="P41" i="14" l="1"/>
  <c r="N37" i="14"/>
  <c r="R37" i="14"/>
  <c r="Q77" i="11"/>
  <c r="G54" i="5" s="1"/>
  <c r="C54" i="5"/>
  <c r="Z42" i="14"/>
  <c r="T17" i="14"/>
  <c r="T8" i="14" s="1"/>
  <c r="T42" i="14"/>
  <c r="S77" i="11"/>
  <c r="K78" i="11"/>
  <c r="I79" i="11"/>
  <c r="K79" i="11" s="1"/>
  <c r="M78" i="11"/>
  <c r="F79" i="11"/>
  <c r="G79" i="11" s="1"/>
  <c r="O78" i="11"/>
  <c r="H78" i="11"/>
  <c r="G78" i="11"/>
  <c r="Q26" i="11"/>
  <c r="Z39" i="14"/>
  <c r="J42" i="15"/>
  <c r="J44" i="15" s="1"/>
  <c r="K42" i="15" s="1"/>
  <c r="K44" i="15" s="1"/>
  <c r="L42" i="15" s="1"/>
  <c r="L44" i="15" s="1"/>
  <c r="I46" i="15"/>
  <c r="Q42" i="15"/>
  <c r="AB17" i="14"/>
  <c r="AB8" i="14" s="1"/>
  <c r="AB42" i="14"/>
  <c r="P17" i="14"/>
  <c r="P8" i="14" s="1"/>
  <c r="P42" i="14"/>
  <c r="AA42" i="14"/>
  <c r="AA17" i="14"/>
  <c r="AA8" i="14" s="1"/>
  <c r="AB41" i="14"/>
  <c r="W35" i="14"/>
  <c r="W37" i="14" s="1"/>
  <c r="W17" i="14" s="1"/>
  <c r="W8" i="14" s="1"/>
  <c r="W47" i="14" s="1"/>
  <c r="X32" i="14"/>
  <c r="R17" i="14"/>
  <c r="R8" i="14" s="1"/>
  <c r="R42" i="14"/>
  <c r="N42" i="14"/>
  <c r="N17" i="14"/>
  <c r="N8" i="14" s="1"/>
  <c r="AA41" i="14"/>
  <c r="G46" i="5"/>
  <c r="E46" i="5"/>
  <c r="T40" i="14" l="1"/>
  <c r="T39" i="14"/>
  <c r="S78" i="11"/>
  <c r="L79" i="11"/>
  <c r="Q78" i="11"/>
  <c r="O79" i="11"/>
  <c r="H79" i="11"/>
  <c r="M79" i="11"/>
  <c r="N42" i="15"/>
  <c r="N44" i="15" s="1"/>
  <c r="M42" i="15"/>
  <c r="P40" i="14"/>
  <c r="P39" i="14"/>
  <c r="N40" i="14"/>
  <c r="N39" i="14"/>
  <c r="X35" i="14"/>
  <c r="X37" i="14" s="1"/>
  <c r="X17" i="14" s="1"/>
  <c r="X8" i="14" s="1"/>
  <c r="X47" i="14" s="1"/>
  <c r="Y32" i="14"/>
  <c r="Y35" i="14" s="1"/>
  <c r="Y37" i="14" s="1"/>
  <c r="Y17" i="14" s="1"/>
  <c r="Y8" i="14" s="1"/>
  <c r="Y47" i="14" s="1"/>
  <c r="AB40" i="14"/>
  <c r="AB39" i="14"/>
  <c r="R40" i="14"/>
  <c r="R39" i="14"/>
  <c r="AA40" i="14"/>
  <c r="AA39" i="14"/>
  <c r="Q79" i="11" l="1"/>
  <c r="S79" i="11"/>
  <c r="G55" i="5"/>
  <c r="E55" i="5" l="1"/>
  <c r="G57" i="5" l="1"/>
  <c r="E57" i="5"/>
  <c r="G36" i="5"/>
  <c r="G19" i="5" l="1"/>
  <c r="E19" i="5" l="1"/>
  <c r="E38" i="5" s="1"/>
  <c r="G38" i="5"/>
  <c r="E9" i="5" l="1"/>
  <c r="E8" i="5"/>
  <c r="E10" i="5" l="1"/>
  <c r="C19" i="5"/>
  <c r="C36" i="5"/>
  <c r="C55" i="5"/>
  <c r="C9" i="5" l="1"/>
  <c r="G9" i="5"/>
  <c r="C38" i="5"/>
  <c r="C46" i="5" l="1"/>
  <c r="C8" i="5" l="1"/>
  <c r="C10" i="5" s="1"/>
  <c r="C57" i="5"/>
  <c r="G8" i="5" l="1"/>
  <c r="G10" i="5" s="1"/>
</calcChain>
</file>

<file path=xl/sharedStrings.xml><?xml version="1.0" encoding="utf-8"?>
<sst xmlns="http://schemas.openxmlformats.org/spreadsheetml/2006/main" count="869" uniqueCount="293">
  <si>
    <t>Actual</t>
  </si>
  <si>
    <t>Budget</t>
  </si>
  <si>
    <t>Income</t>
  </si>
  <si>
    <t xml:space="preserve">   4100 Events/Annual</t>
  </si>
  <si>
    <t xml:space="preserve">      4130 February Meeting - ICNC</t>
  </si>
  <si>
    <t xml:space="preserve">   Total 4100 Events/Annual</t>
  </si>
  <si>
    <t xml:space="preserve">   4500 Membership Dues</t>
  </si>
  <si>
    <t xml:space="preserve">      4520 Companies</t>
  </si>
  <si>
    <t xml:space="preserve">   Total 4500 Membership Dues</t>
  </si>
  <si>
    <t xml:space="preserve">   4600 Other Income</t>
  </si>
  <si>
    <t xml:space="preserve">      4680 Other</t>
  </si>
  <si>
    <t xml:space="preserve">   Total 4600 Other Income</t>
  </si>
  <si>
    <t xml:space="preserve">   4800 Grants</t>
  </si>
  <si>
    <t xml:space="preserve">   Total 4800 Grants</t>
  </si>
  <si>
    <t xml:space="preserve">   Services</t>
  </si>
  <si>
    <t>Total Income</t>
  </si>
  <si>
    <t>Gross Profit</t>
  </si>
  <si>
    <t>Expenses</t>
  </si>
  <si>
    <t xml:space="preserve">   6000 Program Expenses</t>
  </si>
  <si>
    <t xml:space="preserve">      6020 Holiday Party - ICNC</t>
  </si>
  <si>
    <t xml:space="preserve">      6035 Fulton Fest</t>
  </si>
  <si>
    <t xml:space="preserve">      6050 Seminars</t>
  </si>
  <si>
    <t xml:space="preserve">      6070 Other</t>
  </si>
  <si>
    <t xml:space="preserve">      6075 Marketing</t>
  </si>
  <si>
    <t xml:space="preserve">      6085 Training Expense</t>
  </si>
  <si>
    <t xml:space="preserve">   Total 6000 Program Expenses</t>
  </si>
  <si>
    <t xml:space="preserve">   7000 Payroll Expense</t>
  </si>
  <si>
    <t xml:space="preserve">      7010 Salaries</t>
  </si>
  <si>
    <t xml:space="preserve">      7020 Independent Contractor</t>
  </si>
  <si>
    <t xml:space="preserve">      7050 FICA Expense</t>
  </si>
  <si>
    <t xml:space="preserve">      7055 SUTA Expense</t>
  </si>
  <si>
    <t xml:space="preserve">      7060 Health/Dental</t>
  </si>
  <si>
    <t xml:space="preserve">      7065 Pension IRA</t>
  </si>
  <si>
    <t xml:space="preserve">      7066 Life &amp; S/L Term Disability</t>
  </si>
  <si>
    <t xml:space="preserve">   Total 7000 Payroll Expense</t>
  </si>
  <si>
    <t xml:space="preserve">   8100 Operating Expenses</t>
  </si>
  <si>
    <t xml:space="preserve">      8110 Bank Service Charges</t>
  </si>
  <si>
    <t xml:space="preserve">      8130 Cleaning</t>
  </si>
  <si>
    <t xml:space="preserve">      8140 Computer/Technology Expense</t>
  </si>
  <si>
    <t xml:space="preserve">         8141 Services/Consulting</t>
  </si>
  <si>
    <t xml:space="preserve">         8142 Software/Hardware</t>
  </si>
  <si>
    <t xml:space="preserve">      Total 8140 Computer/Technology Expense</t>
  </si>
  <si>
    <t xml:space="preserve">      8150 Copier</t>
  </si>
  <si>
    <t xml:space="preserve">      8170 Dues and Subscriptions</t>
  </si>
  <si>
    <t xml:space="preserve">      8180 Fees &amp; Permits</t>
  </si>
  <si>
    <t xml:space="preserve">      8236 Parking</t>
  </si>
  <si>
    <t xml:space="preserve">      8240 Office Supplies</t>
  </si>
  <si>
    <t xml:space="preserve">      8250 Other Operating Expenses</t>
  </si>
  <si>
    <t xml:space="preserve">      8260 Payroll Fees</t>
  </si>
  <si>
    <t xml:space="preserve">      8270 Postage</t>
  </si>
  <si>
    <t xml:space="preserve">      8280 Postage &amp; Delivery</t>
  </si>
  <si>
    <t xml:space="preserve">      8290 Professional Fees</t>
  </si>
  <si>
    <t xml:space="preserve">         8291 Legal</t>
  </si>
  <si>
    <t xml:space="preserve">         8292 Accounting</t>
  </si>
  <si>
    <t xml:space="preserve">      Total 8290 Professional Fees</t>
  </si>
  <si>
    <t xml:space="preserve">      8300 Staff Development</t>
  </si>
  <si>
    <t xml:space="preserve">      8310 Telephone</t>
  </si>
  <si>
    <t xml:space="preserve">         8315 T1 Line</t>
  </si>
  <si>
    <t xml:space="preserve">      Total 8310 Telephone</t>
  </si>
  <si>
    <t xml:space="preserve">      8320 Telephones - Cellular</t>
  </si>
  <si>
    <t xml:space="preserve">      8330 Travel &amp; Entertainment</t>
  </si>
  <si>
    <t xml:space="preserve">   Total 8100 Operating Expenses</t>
  </si>
  <si>
    <t>Total Expenses</t>
  </si>
  <si>
    <t>Net Operating Income</t>
  </si>
  <si>
    <t>Net Income</t>
  </si>
  <si>
    <t>Database: INDCOUNCIL</t>
  </si>
  <si>
    <t>Accrual</t>
  </si>
  <si>
    <t>Year-To-Date</t>
  </si>
  <si>
    <t>Thru:</t>
  </si>
  <si>
    <t>Variance</t>
  </si>
  <si>
    <t>REVENUES</t>
  </si>
  <si>
    <t>Base Rent</t>
  </si>
  <si>
    <t>Parking Income</t>
  </si>
  <si>
    <t>Tenant CAM</t>
  </si>
  <si>
    <t>Tenant Utility</t>
  </si>
  <si>
    <t>Tenant Other Income</t>
  </si>
  <si>
    <t>Investment Interest</t>
  </si>
  <si>
    <t>Investment Dividends</t>
  </si>
  <si>
    <t>Vending Commissions</t>
  </si>
  <si>
    <t>Interest Income</t>
  </si>
  <si>
    <t>Late Fee/NSF Fee Income</t>
  </si>
  <si>
    <t>Maint &amp; Repairs Incom</t>
  </si>
  <si>
    <t>Other Income</t>
  </si>
  <si>
    <t>SUBTOTAL - REVENUES</t>
  </si>
  <si>
    <t>EXPENSES</t>
  </si>
  <si>
    <t>Admin. Salaries</t>
  </si>
  <si>
    <t>Employee Bonus</t>
  </si>
  <si>
    <t>Maintenance Salaries</t>
  </si>
  <si>
    <t>Other Salaries</t>
  </si>
  <si>
    <t>FICA Expense</t>
  </si>
  <si>
    <t>FUTA Expense</t>
  </si>
  <si>
    <t>SUTA Expense</t>
  </si>
  <si>
    <t>Workers Comp Insurance</t>
  </si>
  <si>
    <t>Health/Dental Ins.</t>
  </si>
  <si>
    <t>Simple IRA</t>
  </si>
  <si>
    <t>Union Dues</t>
  </si>
  <si>
    <t>Pension Fund</t>
  </si>
  <si>
    <t>Life &amp; disability insurance</t>
  </si>
  <si>
    <t>Professional Dev.</t>
  </si>
  <si>
    <t>Payroll Fees</t>
  </si>
  <si>
    <t>Advertising</t>
  </si>
  <si>
    <t>Office Supplies</t>
  </si>
  <si>
    <t>Dues &amp; Subscriptions</t>
  </si>
  <si>
    <t>Postage &amp; Delivery</t>
  </si>
  <si>
    <t>Computer Hardware/Software</t>
  </si>
  <si>
    <t>Computer Service/Consultant</t>
  </si>
  <si>
    <t>Telephone</t>
  </si>
  <si>
    <t>Cellular Phone Expense</t>
  </si>
  <si>
    <t>TI Internet Service</t>
  </si>
  <si>
    <t>Other Admin Expenses</t>
  </si>
  <si>
    <t>M&amp;R - Int.</t>
  </si>
  <si>
    <t>M&amp;R - Ext.</t>
  </si>
  <si>
    <t>Painting&amp;Decorating</t>
  </si>
  <si>
    <t>Electricity - M&amp;R</t>
  </si>
  <si>
    <t>Elevator - M&amp;R</t>
  </si>
  <si>
    <t>Cleaning/Janitorial</t>
  </si>
  <si>
    <t>HVAC M&amp;R</t>
  </si>
  <si>
    <t>Fire &amp; Safety</t>
  </si>
  <si>
    <t>Environmental</t>
  </si>
  <si>
    <t>Security - Electronic</t>
  </si>
  <si>
    <t>Alarm</t>
  </si>
  <si>
    <t>Building Supplies</t>
  </si>
  <si>
    <t>Exterminator</t>
  </si>
  <si>
    <t>Other Operations Expenses</t>
  </si>
  <si>
    <t>Electricity</t>
  </si>
  <si>
    <t>Water &amp; Sanitation</t>
  </si>
  <si>
    <t>Trash Collection</t>
  </si>
  <si>
    <t>Natural Gas</t>
  </si>
  <si>
    <t>Travel &amp; Entertainment</t>
  </si>
  <si>
    <t>Bank Charges</t>
  </si>
  <si>
    <t>Investment Fee</t>
  </si>
  <si>
    <t>Interest Payment</t>
  </si>
  <si>
    <t>Legal Fees</t>
  </si>
  <si>
    <t>Accounting Fees</t>
  </si>
  <si>
    <t>Consulting Services</t>
  </si>
  <si>
    <t>Real Estate Taxes</t>
  </si>
  <si>
    <t>Penalty/Interest</t>
  </si>
  <si>
    <t>Fees &amp; Permits</t>
  </si>
  <si>
    <t>Insurance</t>
  </si>
  <si>
    <t>Depreciation Expense</t>
  </si>
  <si>
    <t>SUBTOTAL - EXPENSES</t>
  </si>
  <si>
    <t>NET INCOME</t>
  </si>
  <si>
    <t>Total income</t>
  </si>
  <si>
    <t>Total expenses</t>
  </si>
  <si>
    <t>Increase (decrease) in net assets</t>
  </si>
  <si>
    <t>Buildings</t>
  </si>
  <si>
    <t>Buildings: Carroll, Fulton (north), Damen</t>
  </si>
  <si>
    <t>Rental income</t>
  </si>
  <si>
    <t>Tenant reimbursement</t>
  </si>
  <si>
    <t>Parking</t>
  </si>
  <si>
    <t>RE tax rebate</t>
  </si>
  <si>
    <t>Payroll-management</t>
  </si>
  <si>
    <t>Benefits, taxes, other payroll expense</t>
  </si>
  <si>
    <t>Office expense</t>
  </si>
  <si>
    <t>Real estate taxes</t>
  </si>
  <si>
    <t>Operating, maintenance and repairs</t>
  </si>
  <si>
    <t>Professional and permitting fees</t>
  </si>
  <si>
    <t>Staff development</t>
  </si>
  <si>
    <t>Bad debt expense</t>
  </si>
  <si>
    <t>Depreciation/amortization</t>
  </si>
  <si>
    <t>Programs</t>
  </si>
  <si>
    <t>Event revenues</t>
  </si>
  <si>
    <t>Grants</t>
  </si>
  <si>
    <t>Membership dues</t>
  </si>
  <si>
    <t>Payroll</t>
  </si>
  <si>
    <t>Benefits, taxes, etc.</t>
  </si>
  <si>
    <t>Operating expenses</t>
  </si>
  <si>
    <t>Event expense</t>
  </si>
  <si>
    <t>Program expense</t>
  </si>
  <si>
    <t>Other expenses</t>
  </si>
  <si>
    <t>Statement of Cash Flows</t>
  </si>
  <si>
    <t>AUDITED</t>
  </si>
  <si>
    <t>BUDGETED</t>
  </si>
  <si>
    <t>CASH FLOWS FROM OPERATING ACTIVITIES</t>
  </si>
  <si>
    <t>Increase in Net Assets</t>
  </si>
  <si>
    <t>Adjustments to Reconcile Increase in Net Assets</t>
  </si>
  <si>
    <t>Depreciation</t>
  </si>
  <si>
    <t>Accounts Payable</t>
  </si>
  <si>
    <t>Due from Affiliate</t>
  </si>
  <si>
    <t>Accrued Real Estate Taxes</t>
  </si>
  <si>
    <t>Accrued Expenses</t>
  </si>
  <si>
    <t>Tenant Security Deposits</t>
  </si>
  <si>
    <t>Net Cash Provided by Operating Activities</t>
  </si>
  <si>
    <t>CASH FLOWS FROM INVESTING ACTIVITIES</t>
  </si>
  <si>
    <t>Net Cash Used in Investing Activities</t>
  </si>
  <si>
    <t>CASH FLOWS FROM FINANCING ACTIVITIES</t>
  </si>
  <si>
    <t>Net Cash Used in Financing Activities</t>
  </si>
  <si>
    <t>NET INCREASE IN CASH</t>
  </si>
  <si>
    <t>CASH AND EQUIVALENTS AT BEGIN OF PERIOD</t>
  </si>
  <si>
    <t>CASH AT END OF PERIOD</t>
  </si>
  <si>
    <t>Statement of Financial Position</t>
  </si>
  <si>
    <t>ASSETS</t>
  </si>
  <si>
    <t>TOTAL ASSETS</t>
  </si>
  <si>
    <t>TOTAL LIABILITIES</t>
  </si>
  <si>
    <t>TOTAL LIABILITIES AND NET ASSETS</t>
  </si>
  <si>
    <t>ICNC</t>
  </si>
  <si>
    <t>Industrial Council of Nearwest Chicago 501(c)(6)</t>
  </si>
  <si>
    <t>ACTUAL</t>
  </si>
  <si>
    <t xml:space="preserve">Cash and Equivalents </t>
  </si>
  <si>
    <t>Investments, at Market</t>
  </si>
  <si>
    <t>Certificates of Deposit</t>
  </si>
  <si>
    <t>Receivable minus Doubtful Accounts</t>
  </si>
  <si>
    <t xml:space="preserve">Grants Receivable </t>
  </si>
  <si>
    <t>Prepaid Expenses and Deferred Revenue</t>
  </si>
  <si>
    <t>Property and Equipment, Net</t>
  </si>
  <si>
    <t>LIABILITIES</t>
  </si>
  <si>
    <t xml:space="preserve">Due To Affiliate </t>
  </si>
  <si>
    <t xml:space="preserve">Mortgage Note Payable </t>
  </si>
  <si>
    <t>Tenant Security Deposit</t>
  </si>
  <si>
    <t>NET ASSETS</t>
  </si>
  <si>
    <t xml:space="preserve">Unrestricted Net Assets </t>
  </si>
  <si>
    <t xml:space="preserve">Temporarily Restricted Net Assets </t>
  </si>
  <si>
    <t>TOTAL NET ASSETS</t>
  </si>
  <si>
    <t>2017 Q1</t>
  </si>
  <si>
    <t>2017 Q2</t>
  </si>
  <si>
    <t>2017 Q3</t>
  </si>
  <si>
    <t>Amortization and Prepaid Lease Commission</t>
  </si>
  <si>
    <t>Provision for Bad Debts</t>
  </si>
  <si>
    <t>Accounts Receivable</t>
  </si>
  <si>
    <t>Grant Receivable</t>
  </si>
  <si>
    <t>Deferred Loan Cost</t>
  </si>
  <si>
    <t>Due to Affiliate</t>
  </si>
  <si>
    <t>Fixed Assets &amp; Equipment</t>
  </si>
  <si>
    <t>Redemption of Certificates of Deposit</t>
  </si>
  <si>
    <t>Mortgage</t>
  </si>
  <si>
    <t>Bad Debt Expense</t>
  </si>
  <si>
    <t xml:space="preserve">      4180 Boat Outing</t>
  </si>
  <si>
    <t xml:space="preserve">      4802 LIRI</t>
  </si>
  <si>
    <t xml:space="preserve">      4835 SBDC Grant</t>
  </si>
  <si>
    <t xml:space="preserve">      4860 TIF Works</t>
  </si>
  <si>
    <t xml:space="preserve">   4999 Uncategorized Income</t>
  </si>
  <si>
    <t xml:space="preserve">      6030 February Meeting - ICNC</t>
  </si>
  <si>
    <t xml:space="preserve">      6047 Boat Outing</t>
  </si>
  <si>
    <t xml:space="preserve">      8230 Rent</t>
  </si>
  <si>
    <t xml:space="preserve">      8235 Utilities</t>
  </si>
  <si>
    <t xml:space="preserve">   8551 Political Activity</t>
  </si>
  <si>
    <t>Thursday, Aug 31, 2017 04:59:51 PM GMT-7 - Accrual Basis</t>
  </si>
  <si>
    <t>8 minus events</t>
  </si>
  <si>
    <t>Tenant fine</t>
  </si>
  <si>
    <t xml:space="preserve">Other income </t>
  </si>
  <si>
    <t>x</t>
  </si>
  <si>
    <t>Tenant Fine</t>
  </si>
  <si>
    <t>2016 Q1</t>
  </si>
  <si>
    <t>2016 Q2</t>
  </si>
  <si>
    <t>2016 Q3</t>
  </si>
  <si>
    <t>2016 Q4</t>
  </si>
  <si>
    <t>2016 Q1-Q2</t>
  </si>
  <si>
    <t>2016 Q1-Q3</t>
  </si>
  <si>
    <t>2017 Q1-Q2</t>
  </si>
  <si>
    <t>2017 Q4</t>
  </si>
  <si>
    <t>UNAUDITED</t>
  </si>
  <si>
    <t>PROJECTED</t>
  </si>
  <si>
    <t>FOR DISCUSSION PURPOSES ONLY</t>
  </si>
  <si>
    <t>Current Ratio</t>
  </si>
  <si>
    <t>Working Capital Available</t>
  </si>
  <si>
    <t>Total Liabilities to Equity</t>
  </si>
  <si>
    <t>Interest Bearing Debt to Equity</t>
  </si>
  <si>
    <t>Months Cash on Hand</t>
  </si>
  <si>
    <t>Altman Z-Score</t>
  </si>
  <si>
    <t>Debt Service Coverage Ratio (DSCR)</t>
  </si>
  <si>
    <t>2017 Q1-Q3</t>
  </si>
  <si>
    <t>Year to date</t>
  </si>
  <si>
    <t>Most recent three months</t>
  </si>
  <si>
    <t>TOTAL</t>
  </si>
  <si>
    <t>1/1/18 to 3/31/18</t>
  </si>
  <si>
    <t>Months Cash</t>
  </si>
  <si>
    <t>2018 Q2</t>
  </si>
  <si>
    <t>2018 Q3</t>
  </si>
  <si>
    <t>2018 Q4</t>
  </si>
  <si>
    <t>Industrial Council of Nearwest Chicago</t>
  </si>
  <si>
    <t>Budget vs. Actuals: FY 2018 P&amp;L - FY18 P&amp;L  Classes</t>
  </si>
  <si>
    <t>LIRI - ICNC</t>
  </si>
  <si>
    <t>SBDC - ICNC</t>
  </si>
  <si>
    <t>over Budget</t>
  </si>
  <si>
    <t>% of Budget</t>
  </si>
  <si>
    <t xml:space="preserve">   4200 Event Sponsorship</t>
  </si>
  <si>
    <t xml:space="preserve">      4260 Boat Outing</t>
  </si>
  <si>
    <t xml:space="preserve">   Total 4200 Event Sponsorship</t>
  </si>
  <si>
    <t>Time:</t>
  </si>
  <si>
    <t>Individual Unit Improvements</t>
  </si>
  <si>
    <t>Individual unit improvements</t>
  </si>
  <si>
    <t>Previous year to date</t>
  </si>
  <si>
    <t>1/1/17 to 3/31/17</t>
  </si>
  <si>
    <t>Same as most recent three months</t>
  </si>
  <si>
    <r>
      <t xml:space="preserve">Other income </t>
    </r>
    <r>
      <rPr>
        <vertAlign val="superscript"/>
        <sz val="8"/>
        <color theme="1"/>
        <rFont val="Arial"/>
        <family val="2"/>
      </rPr>
      <t>1</t>
    </r>
  </si>
  <si>
    <r>
      <rPr>
        <i/>
        <vertAlign val="superscript"/>
        <sz val="8"/>
        <color indexed="8"/>
        <rFont val="Arial"/>
        <family val="2"/>
      </rPr>
      <t>1</t>
    </r>
    <r>
      <rPr>
        <i/>
        <sz val="8"/>
        <color indexed="8"/>
        <rFont val="Arial"/>
        <family val="2"/>
      </rPr>
      <t xml:space="preserve"> Other income includes collections and insurance payment for damage to dock</t>
    </r>
  </si>
  <si>
    <r>
      <rPr>
        <i/>
        <vertAlign val="superscript"/>
        <sz val="8"/>
        <color indexed="8"/>
        <rFont val="Arial"/>
        <family val="2"/>
      </rPr>
      <t>2</t>
    </r>
    <r>
      <rPr>
        <i/>
        <sz val="8"/>
        <color indexed="8"/>
        <rFont val="Arial"/>
        <family val="2"/>
      </rPr>
      <t xml:space="preserve"> 2017 bonus paid Q2 instead of Q1</t>
    </r>
  </si>
  <si>
    <r>
      <rPr>
        <i/>
        <vertAlign val="superscript"/>
        <sz val="8"/>
        <color indexed="8"/>
        <rFont val="Arial"/>
        <family val="2"/>
      </rPr>
      <t>3</t>
    </r>
    <r>
      <rPr>
        <i/>
        <sz val="8"/>
        <color indexed="8"/>
        <rFont val="Arial"/>
        <family val="2"/>
      </rPr>
      <t xml:space="preserve"> Natural gas</t>
    </r>
  </si>
  <si>
    <r>
      <rPr>
        <i/>
        <vertAlign val="superscript"/>
        <sz val="8"/>
        <color indexed="8"/>
        <rFont val="Arial"/>
        <family val="2"/>
      </rPr>
      <t>4</t>
    </r>
    <r>
      <rPr>
        <i/>
        <sz val="8"/>
        <color indexed="8"/>
        <rFont val="Arial"/>
        <family val="2"/>
      </rPr>
      <t xml:space="preserve"> Anticipated loan interest; loan postponed</t>
    </r>
  </si>
  <si>
    <r>
      <t xml:space="preserve">Payroll-maintenance </t>
    </r>
    <r>
      <rPr>
        <vertAlign val="superscript"/>
        <sz val="8"/>
        <color theme="1"/>
        <rFont val="Arial"/>
        <family val="2"/>
      </rPr>
      <t>2</t>
    </r>
  </si>
  <si>
    <r>
      <t xml:space="preserve">Utilities </t>
    </r>
    <r>
      <rPr>
        <vertAlign val="superscript"/>
        <sz val="8"/>
        <color theme="1"/>
        <rFont val="Arial"/>
        <family val="2"/>
      </rPr>
      <t>3</t>
    </r>
  </si>
  <si>
    <r>
      <t xml:space="preserve">Financing, interest expense and fees </t>
    </r>
    <r>
      <rPr>
        <vertAlign val="superscript"/>
        <sz val="8"/>
        <color theme="1"/>
        <rFont val="Arial"/>
        <family val="2"/>
      </rPr>
      <t>4</t>
    </r>
  </si>
  <si>
    <t>Statement of activities: Budget vs. Actuals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</si>
</sst>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  <numFmt numFmtId="168" formatCode="_([$$-409]* #,##0_);_([$$-409]* \(#,##0\);_([$$-409]* &quot;-&quot;??_);_(@_)"/>
    <numFmt numFmtId="169" formatCode="_(&quot;$&quot;* #,##0.0000_);_(&quot;$&quot;* \(#,##0.0000\);_(&quot;$&quot;* &quot;-&quot;??_);_(@_)"/>
    <numFmt numFmtId="170" formatCode="#,##0.00;\(#,##0.00\)"/>
    <numFmt numFmtId="171" formatCode="#,##0.00\ _€"/>
    <numFmt numFmtId="172" formatCode="&quot;$&quot;* #,##0.00\ _€"/>
  </numFmts>
  <fonts count="29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indexed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color indexed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rgb="FF000000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theme="1"/>
      <name val="Arial"/>
      <family val="2"/>
    </font>
    <font>
      <i/>
      <vertAlign val="superscript"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0" borderId="0" applyNumberFormat="0" applyBorder="0" applyAlignment="0"/>
  </cellStyleXfs>
  <cellXfs count="167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Fill="1" applyProtection="1"/>
    <xf numFmtId="0" fontId="5" fillId="0" borderId="0" xfId="0" applyFont="1" applyFill="1" applyProtection="1"/>
    <xf numFmtId="0" fontId="0" fillId="0" borderId="0" xfId="0" applyFill="1" applyProtection="1"/>
    <xf numFmtId="164" fontId="4" fillId="0" borderId="0" xfId="0" applyNumberFormat="1" applyFont="1" applyFill="1" applyProtection="1"/>
    <xf numFmtId="0" fontId="3" fillId="0" borderId="0" xfId="0" applyFont="1"/>
    <xf numFmtId="0" fontId="2" fillId="0" borderId="0" xfId="0" applyFont="1" applyAlignment="1">
      <alignment horizontal="center"/>
    </xf>
    <xf numFmtId="165" fontId="3" fillId="0" borderId="0" xfId="1" applyNumberFormat="1" applyFont="1"/>
    <xf numFmtId="9" fontId="3" fillId="0" borderId="0" xfId="2" applyFont="1"/>
    <xf numFmtId="165" fontId="2" fillId="0" borderId="1" xfId="1" applyNumberFormat="1" applyFont="1" applyBorder="1" applyAlignment="1">
      <alignment horizontal="center" wrapText="1"/>
    </xf>
    <xf numFmtId="9" fontId="2" fillId="0" borderId="1" xfId="2" applyFont="1" applyBorder="1" applyAlignment="1">
      <alignment horizontal="center" wrapText="1"/>
    </xf>
    <xf numFmtId="0" fontId="7" fillId="0" borderId="0" xfId="0" applyFont="1"/>
    <xf numFmtId="0" fontId="7" fillId="0" borderId="0" xfId="0" applyFont="1" applyFill="1"/>
    <xf numFmtId="165" fontId="2" fillId="0" borderId="0" xfId="1" applyNumberFormat="1" applyFont="1"/>
    <xf numFmtId="9" fontId="2" fillId="0" borderId="0" xfId="2" applyFont="1"/>
    <xf numFmtId="0" fontId="8" fillId="0" borderId="0" xfId="0" applyFont="1" applyFill="1"/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left" indent="1"/>
    </xf>
    <xf numFmtId="0" fontId="8" fillId="2" borderId="0" xfId="0" applyFont="1" applyFill="1" applyAlignment="1">
      <alignment horizontal="left" indent="1"/>
    </xf>
    <xf numFmtId="165" fontId="3" fillId="2" borderId="0" xfId="1" applyNumberFormat="1" applyFont="1" applyFill="1"/>
    <xf numFmtId="0" fontId="8" fillId="0" borderId="0" xfId="0" applyFont="1" applyFill="1" applyAlignment="1">
      <alignment horizontal="left"/>
    </xf>
    <xf numFmtId="0" fontId="8" fillId="2" borderId="0" xfId="0" applyFont="1" applyFill="1"/>
    <xf numFmtId="9" fontId="3" fillId="2" borderId="0" xfId="2" applyFont="1" applyFill="1"/>
    <xf numFmtId="0" fontId="2" fillId="0" borderId="0" xfId="0" applyFont="1"/>
    <xf numFmtId="0" fontId="7" fillId="0" borderId="0" xfId="0" applyFont="1" applyFill="1" applyAlignment="1">
      <alignment horizontal="left"/>
    </xf>
    <xf numFmtId="165" fontId="0" fillId="0" borderId="0" xfId="1" applyNumberFormat="1" applyFont="1"/>
    <xf numFmtId="0" fontId="10" fillId="0" borderId="0" xfId="0" applyFont="1"/>
    <xf numFmtId="9" fontId="9" fillId="0" borderId="0" xfId="2" applyFont="1" applyFill="1" applyAlignment="1">
      <alignment horizontal="left"/>
    </xf>
    <xf numFmtId="9" fontId="3" fillId="2" borderId="0" xfId="2" applyFont="1" applyFill="1" applyBorder="1" applyAlignment="1">
      <alignment wrapText="1"/>
    </xf>
    <xf numFmtId="9" fontId="2" fillId="2" borderId="1" xfId="2" applyFont="1" applyFill="1" applyBorder="1" applyAlignment="1">
      <alignment horizontal="center" wrapText="1"/>
    </xf>
    <xf numFmtId="9" fontId="2" fillId="2" borderId="0" xfId="2" applyFont="1" applyFill="1"/>
    <xf numFmtId="0" fontId="3" fillId="2" borderId="0" xfId="0" applyFont="1" applyFill="1"/>
    <xf numFmtId="0" fontId="11" fillId="0" borderId="0" xfId="0" applyFont="1" applyFill="1" applyAlignment="1" applyProtection="1">
      <alignment horizontal="left"/>
    </xf>
    <xf numFmtId="0" fontId="12" fillId="0" borderId="0" xfId="0" applyFont="1" applyFill="1" applyProtection="1"/>
    <xf numFmtId="165" fontId="9" fillId="0" borderId="0" xfId="1" applyNumberFormat="1" applyFont="1" applyFill="1" applyAlignment="1">
      <alignment horizontal="left"/>
    </xf>
    <xf numFmtId="166" fontId="12" fillId="0" borderId="0" xfId="3" applyNumberFormat="1" applyFont="1" applyFill="1" applyProtection="1"/>
    <xf numFmtId="0" fontId="12" fillId="0" borderId="0" xfId="0" applyFont="1" applyFill="1" applyAlignment="1" applyProtection="1">
      <alignment horizontal="left"/>
    </xf>
    <xf numFmtId="166" fontId="12" fillId="0" borderId="0" xfId="3" applyNumberFormat="1" applyFont="1" applyFill="1" applyAlignment="1" applyProtection="1">
      <alignment horizontal="center"/>
    </xf>
    <xf numFmtId="44" fontId="12" fillId="0" borderId="0" xfId="3" applyFont="1" applyFill="1" applyProtection="1"/>
    <xf numFmtId="167" fontId="12" fillId="0" borderId="0" xfId="3" applyNumberFormat="1" applyFont="1" applyFill="1" applyProtection="1"/>
    <xf numFmtId="165" fontId="0" fillId="0" borderId="0" xfId="1" applyNumberFormat="1" applyFont="1" applyAlignment="1">
      <alignment wrapText="1"/>
    </xf>
    <xf numFmtId="165" fontId="1" fillId="0" borderId="1" xfId="1" applyNumberFormat="1" applyFont="1" applyBorder="1" applyAlignment="1">
      <alignment horizontal="center" wrapText="1"/>
    </xf>
    <xf numFmtId="165" fontId="3" fillId="0" borderId="0" xfId="1" applyNumberFormat="1" applyFont="1" applyAlignment="1">
      <alignment wrapText="1"/>
    </xf>
    <xf numFmtId="165" fontId="3" fillId="0" borderId="0" xfId="1" applyNumberFormat="1" applyFont="1" applyAlignment="1">
      <alignment horizontal="right" wrapText="1"/>
    </xf>
    <xf numFmtId="165" fontId="2" fillId="0" borderId="2" xfId="1" applyNumberFormat="1" applyFont="1" applyBorder="1" applyAlignment="1">
      <alignment horizontal="right" wrapText="1"/>
    </xf>
    <xf numFmtId="165" fontId="2" fillId="2" borderId="0" xfId="1" applyNumberFormat="1" applyFont="1" applyFill="1"/>
    <xf numFmtId="0" fontId="13" fillId="0" borderId="3" xfId="0" applyFont="1" applyFill="1" applyBorder="1"/>
    <xf numFmtId="14" fontId="14" fillId="0" borderId="4" xfId="0" applyNumberFormat="1" applyFont="1" applyFill="1" applyBorder="1" applyAlignment="1">
      <alignment horizontal="center"/>
    </xf>
    <xf numFmtId="14" fontId="14" fillId="0" borderId="4" xfId="3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14" fontId="14" fillId="0" borderId="4" xfId="0" applyNumberFormat="1" applyFont="1" applyFill="1" applyBorder="1" applyAlignment="1">
      <alignment horizontal="center" wrapText="1"/>
    </xf>
    <xf numFmtId="166" fontId="13" fillId="0" borderId="4" xfId="3" applyNumberFormat="1" applyFont="1" applyFill="1" applyBorder="1"/>
    <xf numFmtId="0" fontId="13" fillId="0" borderId="4" xfId="0" applyFont="1" applyFill="1" applyBorder="1"/>
    <xf numFmtId="0" fontId="13" fillId="0" borderId="3" xfId="0" applyFont="1" applyFill="1" applyBorder="1" applyAlignment="1">
      <alignment wrapText="1"/>
    </xf>
    <xf numFmtId="10" fontId="13" fillId="0" borderId="4" xfId="2" applyNumberFormat="1" applyFont="1" applyFill="1" applyBorder="1"/>
    <xf numFmtId="166" fontId="13" fillId="0" borderId="4" xfId="3" applyNumberFormat="1" applyFont="1" applyFill="1" applyBorder="1" applyAlignment="1">
      <alignment horizontal="right" vertical="center"/>
    </xf>
    <xf numFmtId="44" fontId="13" fillId="0" borderId="4" xfId="3" applyNumberFormat="1" applyFont="1" applyFill="1" applyBorder="1"/>
    <xf numFmtId="0" fontId="13" fillId="0" borderId="3" xfId="0" applyNumberFormat="1" applyFont="1" applyFill="1" applyBorder="1"/>
    <xf numFmtId="0" fontId="13" fillId="0" borderId="4" xfId="0" applyNumberFormat="1" applyFont="1" applyFill="1" applyBorder="1"/>
    <xf numFmtId="0" fontId="1" fillId="0" borderId="4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167" fontId="1" fillId="0" borderId="4" xfId="3" applyNumberFormat="1" applyFont="1" applyFill="1" applyBorder="1" applyAlignment="1">
      <alignment horizontal="center"/>
    </xf>
    <xf numFmtId="0" fontId="15" fillId="0" borderId="3" xfId="0" applyFont="1" applyFill="1" applyBorder="1"/>
    <xf numFmtId="167" fontId="13" fillId="0" borderId="4" xfId="3" applyNumberFormat="1" applyFont="1" applyFill="1" applyBorder="1"/>
    <xf numFmtId="0" fontId="14" fillId="0" borderId="3" xfId="0" applyFont="1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left" wrapText="1"/>
    </xf>
    <xf numFmtId="0" fontId="2" fillId="2" borderId="0" xfId="0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0" fontId="13" fillId="0" borderId="4" xfId="3" applyNumberFormat="1" applyFont="1" applyFill="1" applyBorder="1"/>
    <xf numFmtId="0" fontId="0" fillId="0" borderId="0" xfId="0" applyAlignment="1">
      <alignment wrapText="1"/>
    </xf>
    <xf numFmtId="165" fontId="3" fillId="2" borderId="1" xfId="1" applyNumberFormat="1" applyFont="1" applyFill="1" applyBorder="1"/>
    <xf numFmtId="9" fontId="3" fillId="0" borderId="1" xfId="2" applyFont="1" applyBorder="1"/>
    <xf numFmtId="165" fontId="3" fillId="0" borderId="1" xfId="1" applyNumberFormat="1" applyFont="1" applyBorder="1"/>
    <xf numFmtId="165" fontId="3" fillId="0" borderId="1" xfId="1" applyNumberFormat="1" applyFont="1" applyFill="1" applyBorder="1"/>
    <xf numFmtId="0" fontId="3" fillId="0" borderId="0" xfId="0" applyFont="1" applyFill="1"/>
    <xf numFmtId="9" fontId="3" fillId="2" borderId="1" xfId="2" applyFont="1" applyFill="1" applyBorder="1"/>
    <xf numFmtId="0" fontId="8" fillId="2" borderId="1" xfId="0" applyFont="1" applyFill="1" applyBorder="1" applyAlignment="1">
      <alignment horizontal="left" indent="1"/>
    </xf>
    <xf numFmtId="0" fontId="12" fillId="0" borderId="0" xfId="0" applyFont="1" applyFill="1" applyAlignment="1" applyProtection="1">
      <alignment horizontal="center"/>
    </xf>
    <xf numFmtId="0" fontId="14" fillId="0" borderId="4" xfId="0" applyNumberFormat="1" applyFont="1" applyFill="1" applyBorder="1" applyAlignment="1">
      <alignment horizontal="center"/>
    </xf>
    <xf numFmtId="166" fontId="14" fillId="0" borderId="4" xfId="3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3" fillId="0" borderId="5" xfId="0" applyFont="1" applyFill="1" applyBorder="1"/>
    <xf numFmtId="0" fontId="14" fillId="0" borderId="4" xfId="0" applyFont="1" applyFill="1" applyBorder="1"/>
    <xf numFmtId="168" fontId="13" fillId="0" borderId="4" xfId="0" applyNumberFormat="1" applyFont="1" applyFill="1" applyBorder="1"/>
    <xf numFmtId="168" fontId="13" fillId="0" borderId="4" xfId="3" applyNumberFormat="1" applyFont="1" applyFill="1" applyBorder="1"/>
    <xf numFmtId="166" fontId="13" fillId="0" borderId="4" xfId="0" applyNumberFormat="1" applyFont="1" applyFill="1" applyBorder="1"/>
    <xf numFmtId="166" fontId="13" fillId="0" borderId="5" xfId="3" applyNumberFormat="1" applyFont="1" applyFill="1" applyBorder="1"/>
    <xf numFmtId="168" fontId="14" fillId="0" borderId="4" xfId="0" applyNumberFormat="1" applyFont="1" applyFill="1" applyBorder="1"/>
    <xf numFmtId="168" fontId="14" fillId="0" borderId="4" xfId="3" applyNumberFormat="1" applyFont="1" applyFill="1" applyBorder="1"/>
    <xf numFmtId="0" fontId="20" fillId="0" borderId="3" xfId="0" applyFont="1" applyFill="1" applyBorder="1"/>
    <xf numFmtId="2" fontId="13" fillId="0" borderId="4" xfId="0" applyNumberFormat="1" applyFont="1" applyFill="1" applyBorder="1"/>
    <xf numFmtId="0" fontId="20" fillId="0" borderId="6" xfId="0" applyFont="1" applyFill="1" applyBorder="1"/>
    <xf numFmtId="0" fontId="13" fillId="0" borderId="7" xfId="0" applyFont="1" applyFill="1" applyBorder="1"/>
    <xf numFmtId="0" fontId="20" fillId="0" borderId="0" xfId="0" applyFont="1" applyFill="1" applyProtection="1"/>
    <xf numFmtId="0" fontId="11" fillId="0" borderId="0" xfId="0" applyFont="1" applyFill="1" applyAlignment="1" applyProtection="1">
      <alignment horizontal="center"/>
    </xf>
    <xf numFmtId="166" fontId="11" fillId="0" borderId="0" xfId="3" applyNumberFormat="1" applyFont="1" applyFill="1" applyAlignment="1" applyProtection="1">
      <alignment horizontal="center"/>
    </xf>
    <xf numFmtId="14" fontId="14" fillId="0" borderId="5" xfId="0" applyNumberFormat="1" applyFont="1" applyFill="1" applyBorder="1" applyAlignment="1">
      <alignment horizontal="center"/>
    </xf>
    <xf numFmtId="166" fontId="14" fillId="0" borderId="4" xfId="3" applyNumberFormat="1" applyFont="1" applyFill="1" applyBorder="1"/>
    <xf numFmtId="166" fontId="13" fillId="0" borderId="4" xfId="3" applyNumberFormat="1" applyFont="1" applyFill="1" applyBorder="1" applyAlignment="1">
      <alignment horizontal="right"/>
    </xf>
    <xf numFmtId="168" fontId="13" fillId="0" borderId="4" xfId="0" applyNumberFormat="1" applyFont="1" applyFill="1" applyBorder="1" applyAlignment="1">
      <alignment wrapText="1"/>
    </xf>
    <xf numFmtId="166" fontId="20" fillId="0" borderId="4" xfId="3" applyNumberFormat="1" applyFont="1" applyFill="1" applyBorder="1" applyAlignment="1">
      <alignment horizontal="right" wrapText="1"/>
    </xf>
    <xf numFmtId="44" fontId="13" fillId="0" borderId="4" xfId="0" applyNumberFormat="1" applyFont="1" applyFill="1" applyBorder="1"/>
    <xf numFmtId="169" fontId="13" fillId="0" borderId="4" xfId="3" applyNumberFormat="1" applyFont="1" applyFill="1" applyBorder="1"/>
    <xf numFmtId="2" fontId="13" fillId="0" borderId="5" xfId="0" applyNumberFormat="1" applyFont="1" applyFill="1" applyBorder="1"/>
    <xf numFmtId="168" fontId="13" fillId="0" borderId="5" xfId="0" applyNumberFormat="1" applyFont="1" applyFill="1" applyBorder="1"/>
    <xf numFmtId="2" fontId="13" fillId="0" borderId="7" xfId="0" applyNumberFormat="1" applyFont="1" applyFill="1" applyBorder="1"/>
    <xf numFmtId="2" fontId="13" fillId="0" borderId="8" xfId="0" applyNumberFormat="1" applyFont="1" applyFill="1" applyBorder="1"/>
    <xf numFmtId="0" fontId="20" fillId="0" borderId="0" xfId="0" applyFont="1" applyFill="1" applyBorder="1"/>
    <xf numFmtId="0" fontId="13" fillId="0" borderId="0" xfId="0" applyFont="1" applyFill="1" applyBorder="1"/>
    <xf numFmtId="2" fontId="13" fillId="0" borderId="0" xfId="0" applyNumberFormat="1" applyFont="1" applyFill="1" applyBorder="1"/>
    <xf numFmtId="44" fontId="12" fillId="0" borderId="0" xfId="0" applyNumberFormat="1" applyFont="1" applyFill="1" applyProtection="1"/>
    <xf numFmtId="1" fontId="12" fillId="0" borderId="0" xfId="3" applyNumberFormat="1" applyFont="1" applyFill="1" applyProtection="1"/>
    <xf numFmtId="0" fontId="14" fillId="0" borderId="4" xfId="3" applyNumberFormat="1" applyFont="1" applyFill="1" applyBorder="1" applyAlignment="1">
      <alignment horizontal="center"/>
    </xf>
    <xf numFmtId="0" fontId="1" fillId="0" borderId="4" xfId="3" applyNumberFormat="1" applyFont="1" applyFill="1" applyBorder="1" applyAlignment="1">
      <alignment horizontal="center"/>
    </xf>
    <xf numFmtId="0" fontId="14" fillId="0" borderId="5" xfId="0" applyNumberFormat="1" applyFont="1" applyFill="1" applyBorder="1" applyAlignment="1">
      <alignment horizontal="center"/>
    </xf>
    <xf numFmtId="1" fontId="13" fillId="0" borderId="4" xfId="3" applyNumberFormat="1" applyFont="1" applyFill="1" applyBorder="1"/>
    <xf numFmtId="0" fontId="18" fillId="0" borderId="4" xfId="0" applyFont="1" applyFill="1" applyBorder="1"/>
    <xf numFmtId="2" fontId="13" fillId="0" borderId="4" xfId="3" applyNumberFormat="1" applyFont="1" applyFill="1" applyBorder="1"/>
    <xf numFmtId="2" fontId="13" fillId="0" borderId="5" xfId="3" applyNumberFormat="1" applyFont="1" applyFill="1" applyBorder="1"/>
    <xf numFmtId="1" fontId="13" fillId="0" borderId="7" xfId="3" applyNumberFormat="1" applyFont="1" applyFill="1" applyBorder="1"/>
    <xf numFmtId="2" fontId="13" fillId="0" borderId="7" xfId="3" applyNumberFormat="1" applyFont="1" applyFill="1" applyBorder="1"/>
    <xf numFmtId="2" fontId="18" fillId="0" borderId="7" xfId="0" applyNumberFormat="1" applyFont="1" applyFill="1" applyBorder="1"/>
    <xf numFmtId="1" fontId="13" fillId="0" borderId="0" xfId="3" applyNumberFormat="1" applyFont="1" applyFill="1" applyBorder="1"/>
    <xf numFmtId="2" fontId="13" fillId="0" borderId="0" xfId="3" applyNumberFormat="1" applyFont="1" applyFill="1" applyBorder="1"/>
    <xf numFmtId="2" fontId="18" fillId="0" borderId="0" xfId="0" applyNumberFormat="1" applyFont="1" applyFill="1" applyBorder="1"/>
    <xf numFmtId="170" fontId="4" fillId="0" borderId="0" xfId="0" applyNumberFormat="1" applyFont="1" applyFill="1" applyProtection="1"/>
    <xf numFmtId="0" fontId="21" fillId="0" borderId="0" xfId="0" applyFont="1" applyFill="1" applyAlignment="1" applyProtection="1">
      <alignment horizontal="center"/>
    </xf>
    <xf numFmtId="0" fontId="22" fillId="0" borderId="0" xfId="0" applyFont="1" applyFill="1" applyAlignment="1" applyProtection="1">
      <alignment horizontal="center"/>
    </xf>
    <xf numFmtId="9" fontId="3" fillId="0" borderId="0" xfId="2" applyFont="1" applyFill="1"/>
    <xf numFmtId="2" fontId="12" fillId="0" borderId="0" xfId="0" applyNumberFormat="1" applyFont="1" applyFill="1" applyProtection="1"/>
    <xf numFmtId="0" fontId="24" fillId="0" borderId="1" xfId="0" applyFont="1" applyBorder="1" applyAlignment="1">
      <alignment horizontal="center" wrapText="1"/>
    </xf>
    <xf numFmtId="0" fontId="25" fillId="0" borderId="0" xfId="0" applyFont="1" applyAlignment="1">
      <alignment horizontal="left" wrapText="1"/>
    </xf>
    <xf numFmtId="171" fontId="26" fillId="0" borderId="0" xfId="0" applyNumberFormat="1" applyFont="1" applyAlignment="1">
      <alignment wrapText="1"/>
    </xf>
    <xf numFmtId="171" fontId="26" fillId="0" borderId="0" xfId="0" applyNumberFormat="1" applyFont="1" applyAlignment="1">
      <alignment horizontal="right" wrapText="1"/>
    </xf>
    <xf numFmtId="10" fontId="26" fillId="0" borderId="0" xfId="0" applyNumberFormat="1" applyFont="1" applyAlignment="1">
      <alignment horizontal="right" wrapText="1"/>
    </xf>
    <xf numFmtId="172" fontId="25" fillId="0" borderId="2" xfId="0" applyNumberFormat="1" applyFont="1" applyBorder="1" applyAlignment="1">
      <alignment horizontal="right" wrapText="1"/>
    </xf>
    <xf numFmtId="10" fontId="25" fillId="0" borderId="2" xfId="0" applyNumberFormat="1" applyFont="1" applyBorder="1" applyAlignment="1">
      <alignment horizontal="right" wrapText="1"/>
    </xf>
    <xf numFmtId="18" fontId="4" fillId="0" borderId="0" xfId="0" applyNumberFormat="1" applyFont="1" applyFill="1" applyProtection="1"/>
    <xf numFmtId="0" fontId="2" fillId="2" borderId="0" xfId="0" applyFont="1" applyFill="1"/>
    <xf numFmtId="165" fontId="2" fillId="0" borderId="0" xfId="1" applyNumberFormat="1" applyFont="1" applyAlignment="1"/>
    <xf numFmtId="165" fontId="2" fillId="0" borderId="0" xfId="1" applyNumberFormat="1" applyFont="1" applyBorder="1" applyAlignment="1">
      <alignment wrapText="1"/>
    </xf>
    <xf numFmtId="171" fontId="3" fillId="0" borderId="0" xfId="0" applyNumberFormat="1" applyFont="1" applyAlignment="1">
      <alignment wrapText="1"/>
    </xf>
    <xf numFmtId="171" fontId="3" fillId="0" borderId="0" xfId="0" applyNumberFormat="1" applyFont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172" fontId="2" fillId="0" borderId="2" xfId="0" applyNumberFormat="1" applyFont="1" applyBorder="1" applyAlignment="1">
      <alignment horizontal="right" wrapText="1"/>
    </xf>
    <xf numFmtId="10" fontId="2" fillId="0" borderId="2" xfId="0" applyNumberFormat="1" applyFont="1" applyBorder="1" applyAlignment="1">
      <alignment horizontal="right" wrapText="1"/>
    </xf>
    <xf numFmtId="0" fontId="0" fillId="0" borderId="0" xfId="0" applyAlignment="1"/>
    <xf numFmtId="0" fontId="2" fillId="0" borderId="0" xfId="0" applyFont="1" applyAlignment="1">
      <alignment horizontal="left"/>
    </xf>
    <xf numFmtId="9" fontId="3" fillId="0" borderId="1" xfId="2" applyFont="1" applyFill="1" applyBorder="1"/>
    <xf numFmtId="165" fontId="10" fillId="0" borderId="0" xfId="1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165" fontId="2" fillId="0" borderId="0" xfId="1" applyNumberFormat="1" applyFont="1" applyBorder="1" applyAlignment="1">
      <alignment horizontal="center" wrapText="1"/>
    </xf>
    <xf numFmtId="165" fontId="2" fillId="0" borderId="0" xfId="1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/>
    <xf numFmtId="0" fontId="24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0" xfId="0" applyFont="1" applyBorder="1" applyAlignment="1">
      <alignment horizontal="center" wrapText="1"/>
    </xf>
  </cellXfs>
  <cellStyles count="5">
    <cellStyle name="Comma" xfId="1" builtinId="3"/>
    <cellStyle name="Currency" xfId="3" builtinId="4"/>
    <cellStyle name="Normal" xfId="0" builtinId="0"/>
    <cellStyle name="Normal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inzieindu.sharepoint.com/Projects/Finance%20Department/Budgets%20&amp;%20Projections/ICNC%20Budgeted%20Financial%20Statement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ilding P&amp;L 2015"/>
      <sheetName val="Programs P&amp;L 2015"/>
      <sheetName val="Buildings Balance Sheet 2015"/>
      <sheetName val="Programs Balance Sheet 2015"/>
      <sheetName val="ICNC Financial Position"/>
      <sheetName val="ICNC Interim Financial Position"/>
      <sheetName val="ICNC Cash Flows"/>
      <sheetName val="ICNC Interim Cash Flows"/>
      <sheetName val="ICNC Activities"/>
      <sheetName val="2016 PRGM BUDGET"/>
      <sheetName val="ICNC Interim Activities"/>
      <sheetName val="Assumptions"/>
      <sheetName val="time allocation"/>
      <sheetName val="to do"/>
      <sheetName val="Loan Schedule"/>
      <sheetName val="Trial Balances"/>
      <sheetName val="PRGRAMS Balance Sheet 3-31-2016"/>
      <sheetName val="BLDGS Balance Sheet 3-31-2016"/>
      <sheetName val="Programs P&amp;L 3-31-2016"/>
      <sheetName val="BLDGS 3-31-2016"/>
    </sheetNames>
    <sheetDataSet>
      <sheetData sheetId="0"/>
      <sheetData sheetId="1"/>
      <sheetData sheetId="2"/>
      <sheetData sheetId="3"/>
      <sheetData sheetId="4">
        <row r="8">
          <cell r="D8">
            <v>254306</v>
          </cell>
          <cell r="E8">
            <v>403795.37</v>
          </cell>
          <cell r="J8">
            <v>307514</v>
          </cell>
          <cell r="M8">
            <v>307716.31000000006</v>
          </cell>
          <cell r="N8">
            <v>155510.75</v>
          </cell>
          <cell r="O8">
            <v>385196.65</v>
          </cell>
          <cell r="P8">
            <v>191757.31850000005</v>
          </cell>
          <cell r="Q8">
            <v>254876.66999999993</v>
          </cell>
          <cell r="R8">
            <v>599172.18000000005</v>
          </cell>
          <cell r="S8">
            <v>441544.42099999823</v>
          </cell>
          <cell r="U8">
            <v>1090341.1536728162</v>
          </cell>
          <cell r="V8">
            <v>1209436.8065846991</v>
          </cell>
          <cell r="W8">
            <v>1326012.9375968818</v>
          </cell>
        </row>
        <row r="9">
          <cell r="C9">
            <v>282954</v>
          </cell>
          <cell r="D9">
            <v>845268</v>
          </cell>
          <cell r="E9">
            <v>813907.17</v>
          </cell>
          <cell r="F9">
            <v>813907</v>
          </cell>
          <cell r="G9">
            <v>809608.07</v>
          </cell>
          <cell r="H9">
            <v>628248.38</v>
          </cell>
          <cell r="I9">
            <v>646534.53</v>
          </cell>
          <cell r="J9">
            <v>648230</v>
          </cell>
          <cell r="L9">
            <v>835000</v>
          </cell>
          <cell r="M9">
            <v>673260.43</v>
          </cell>
          <cell r="N9">
            <v>648230</v>
          </cell>
          <cell r="O9">
            <v>374062.37</v>
          </cell>
          <cell r="P9">
            <v>323230</v>
          </cell>
          <cell r="Q9">
            <v>323230</v>
          </cell>
          <cell r="S9">
            <v>323230</v>
          </cell>
          <cell r="U9">
            <v>229210</v>
          </cell>
          <cell r="V9">
            <v>233450.38500000001</v>
          </cell>
          <cell r="W9">
            <v>237769.21712250001</v>
          </cell>
        </row>
        <row r="10">
          <cell r="D10">
            <v>125842</v>
          </cell>
          <cell r="E10">
            <v>0</v>
          </cell>
        </row>
        <row r="11">
          <cell r="J11">
            <v>26415</v>
          </cell>
          <cell r="M11">
            <v>-11031.160000000003</v>
          </cell>
          <cell r="N11">
            <v>33000</v>
          </cell>
          <cell r="O11">
            <v>-4661.3600000000006</v>
          </cell>
          <cell r="P11">
            <v>33000</v>
          </cell>
          <cell r="Q11">
            <v>33000</v>
          </cell>
          <cell r="S11">
            <v>32929.537499999999</v>
          </cell>
          <cell r="U11">
            <v>36660.276437499997</v>
          </cell>
          <cell r="V11">
            <v>37697.662675281252</v>
          </cell>
          <cell r="W11">
            <v>38733.034223422081</v>
          </cell>
        </row>
        <row r="12">
          <cell r="D12">
            <v>53896</v>
          </cell>
          <cell r="E12">
            <v>118894.65</v>
          </cell>
          <cell r="F12">
            <v>118895</v>
          </cell>
          <cell r="H12">
            <v>82508.740000000005</v>
          </cell>
          <cell r="I12">
            <v>100744.84</v>
          </cell>
          <cell r="J12">
            <v>90266</v>
          </cell>
          <cell r="K12">
            <v>38000</v>
          </cell>
          <cell r="L12">
            <v>38000</v>
          </cell>
          <cell r="M12">
            <v>65181.58</v>
          </cell>
          <cell r="N12">
            <v>60000</v>
          </cell>
          <cell r="O12">
            <v>77511.92</v>
          </cell>
          <cell r="P12">
            <v>60000</v>
          </cell>
          <cell r="Q12">
            <v>60000</v>
          </cell>
          <cell r="S12">
            <v>59273.167499999996</v>
          </cell>
          <cell r="U12">
            <v>65988.497587499995</v>
          </cell>
          <cell r="V12">
            <v>67855.792815506255</v>
          </cell>
          <cell r="W12">
            <v>69719.461602159747</v>
          </cell>
        </row>
        <row r="13">
          <cell r="D13">
            <v>149428</v>
          </cell>
          <cell r="E13">
            <v>176637.29</v>
          </cell>
          <cell r="G13">
            <v>144368.64000000001</v>
          </cell>
          <cell r="H13">
            <v>142707.97</v>
          </cell>
          <cell r="I13">
            <v>105642.02</v>
          </cell>
          <cell r="J13">
            <v>122083</v>
          </cell>
          <cell r="K13">
            <v>142707.97</v>
          </cell>
          <cell r="L13">
            <v>142707.97</v>
          </cell>
          <cell r="M13">
            <v>64377.780000000006</v>
          </cell>
          <cell r="N13">
            <v>125000</v>
          </cell>
          <cell r="O13">
            <v>62550.659999999996</v>
          </cell>
          <cell r="P13">
            <v>125000</v>
          </cell>
          <cell r="Q13">
            <v>125000</v>
          </cell>
          <cell r="S13">
            <v>118610.1125</v>
          </cell>
          <cell r="U13">
            <v>127084.17056871802</v>
          </cell>
          <cell r="V13">
            <v>130507.80304646821</v>
          </cell>
          <cell r="W13">
            <v>134029.79271144888</v>
          </cell>
        </row>
        <row r="14">
          <cell r="S14">
            <v>0</v>
          </cell>
          <cell r="U14">
            <v>0</v>
          </cell>
          <cell r="V14">
            <v>0</v>
          </cell>
          <cell r="W14">
            <v>55000</v>
          </cell>
        </row>
        <row r="15">
          <cell r="D15">
            <v>5810567</v>
          </cell>
          <cell r="E15">
            <v>5951915.040000001</v>
          </cell>
          <cell r="J15">
            <v>6354471</v>
          </cell>
          <cell r="K15">
            <v>7572536.040000001</v>
          </cell>
          <cell r="L15">
            <v>7408196.040000001</v>
          </cell>
          <cell r="M15">
            <v>6295140.3600000013</v>
          </cell>
          <cell r="N15">
            <v>6355721</v>
          </cell>
          <cell r="P15">
            <v>6356971</v>
          </cell>
          <cell r="Q15">
            <v>8033221</v>
          </cell>
          <cell r="S15">
            <v>8034471</v>
          </cell>
          <cell r="U15">
            <v>8049037.3636363633</v>
          </cell>
          <cell r="V15">
            <v>8058430.3181818174</v>
          </cell>
          <cell r="W15">
            <v>8062494.6613636352</v>
          </cell>
        </row>
        <row r="17">
          <cell r="C17">
            <v>6720581</v>
          </cell>
          <cell r="D17">
            <v>7316269</v>
          </cell>
          <cell r="F17">
            <v>7585809</v>
          </cell>
          <cell r="J17">
            <v>7548979</v>
          </cell>
          <cell r="S17">
            <v>9010058.238499999</v>
          </cell>
          <cell r="U17">
            <v>9598321.4619028978</v>
          </cell>
          <cell r="V17">
            <v>9737378.7683037724</v>
          </cell>
          <cell r="W17">
            <v>9923759.1046200469</v>
          </cell>
        </row>
        <row r="21">
          <cell r="D21">
            <v>88719</v>
          </cell>
          <cell r="E21">
            <v>222434.6</v>
          </cell>
          <cell r="F21">
            <v>164346</v>
          </cell>
          <cell r="G21">
            <v>413613.78</v>
          </cell>
          <cell r="H21">
            <v>242296.36</v>
          </cell>
          <cell r="I21">
            <v>136227.83000000002</v>
          </cell>
          <cell r="J21">
            <v>86148</v>
          </cell>
          <cell r="K21">
            <v>40100</v>
          </cell>
          <cell r="L21">
            <v>40100</v>
          </cell>
          <cell r="M21">
            <v>65659.42</v>
          </cell>
          <cell r="N21">
            <v>87396.925000000003</v>
          </cell>
          <cell r="O21">
            <v>64386.44</v>
          </cell>
          <cell r="P21">
            <v>87396.925000000003</v>
          </cell>
          <cell r="Q21">
            <v>87396.925000000003</v>
          </cell>
          <cell r="S21">
            <v>87396.925000000003</v>
          </cell>
          <cell r="U21">
            <v>93640.967787476446</v>
          </cell>
          <cell r="V21">
            <v>96163.644350029208</v>
          </cell>
          <cell r="W21">
            <v>98758.794629488664</v>
          </cell>
        </row>
        <row r="22">
          <cell r="D22">
            <v>39187</v>
          </cell>
          <cell r="E22">
            <v>38587.26</v>
          </cell>
          <cell r="F22">
            <v>36934</v>
          </cell>
          <cell r="G22">
            <v>38587.26</v>
          </cell>
          <cell r="H22">
            <v>38587.26</v>
          </cell>
          <cell r="I22">
            <v>38587.26</v>
          </cell>
          <cell r="J22">
            <v>45166</v>
          </cell>
          <cell r="K22">
            <v>38825.69</v>
          </cell>
          <cell r="L22">
            <v>38825.69</v>
          </cell>
          <cell r="M22">
            <v>45165.53</v>
          </cell>
          <cell r="N22">
            <v>37455.824999999997</v>
          </cell>
          <cell r="O22">
            <v>31459.54</v>
          </cell>
          <cell r="P22">
            <v>37455.824999999997</v>
          </cell>
          <cell r="Q22">
            <v>37455.824999999997</v>
          </cell>
          <cell r="S22">
            <v>37455.824999999997</v>
          </cell>
          <cell r="U22">
            <v>40131.843337489903</v>
          </cell>
          <cell r="V22">
            <v>41212.990435726802</v>
          </cell>
          <cell r="W22">
            <v>42325.197698352276</v>
          </cell>
        </row>
        <row r="23">
          <cell r="D23">
            <v>363000</v>
          </cell>
          <cell r="E23">
            <v>354331.55</v>
          </cell>
          <cell r="F23">
            <v>372000</v>
          </cell>
          <cell r="G23">
            <v>242112.97</v>
          </cell>
          <cell r="H23">
            <v>322856.40999999997</v>
          </cell>
          <cell r="I23">
            <v>239513.01</v>
          </cell>
          <cell r="J23">
            <v>375000</v>
          </cell>
          <cell r="K23">
            <v>332000</v>
          </cell>
          <cell r="L23">
            <v>332000</v>
          </cell>
          <cell r="M23">
            <v>267412.68</v>
          </cell>
          <cell r="N23">
            <v>230338</v>
          </cell>
          <cell r="O23">
            <v>352411.68</v>
          </cell>
          <cell r="P23">
            <v>349932.56849999999</v>
          </cell>
          <cell r="Q23">
            <v>230338</v>
          </cell>
          <cell r="S23">
            <v>349932.56849999999</v>
          </cell>
          <cell r="U23">
            <v>398652.04555500002</v>
          </cell>
          <cell r="V23">
            <v>410611.60692165</v>
          </cell>
          <cell r="W23">
            <v>422929.95512929955</v>
          </cell>
        </row>
        <row r="24">
          <cell r="D24">
            <v>198131</v>
          </cell>
          <cell r="E24">
            <v>495180.64</v>
          </cell>
          <cell r="F24">
            <v>487382</v>
          </cell>
          <cell r="G24">
            <v>651730.48</v>
          </cell>
          <cell r="H24">
            <v>597081.35999999987</v>
          </cell>
          <cell r="I24">
            <v>567595.30000000005</v>
          </cell>
          <cell r="J24">
            <v>570980</v>
          </cell>
          <cell r="K24">
            <v>466182.79999999993</v>
          </cell>
          <cell r="L24">
            <v>466182.79999999993</v>
          </cell>
          <cell r="M24">
            <v>525408.75</v>
          </cell>
          <cell r="N24">
            <v>570980</v>
          </cell>
          <cell r="O24">
            <v>174035.75000000003</v>
          </cell>
          <cell r="P24">
            <v>145980</v>
          </cell>
          <cell r="Q24">
            <v>145980</v>
          </cell>
          <cell r="S24">
            <v>145980</v>
          </cell>
          <cell r="U24">
            <v>45980</v>
          </cell>
          <cell r="V24">
            <v>2755.7300000000032</v>
          </cell>
          <cell r="W24">
            <v>2755.7300000000032</v>
          </cell>
        </row>
        <row r="25">
          <cell r="D25">
            <v>424817</v>
          </cell>
          <cell r="E25">
            <v>216907.89</v>
          </cell>
          <cell r="F25">
            <v>216908</v>
          </cell>
          <cell r="G25">
            <v>181286.36</v>
          </cell>
          <cell r="H25">
            <v>127543.16</v>
          </cell>
          <cell r="I25">
            <v>73247.63</v>
          </cell>
          <cell r="J25">
            <v>18393.240000000002</v>
          </cell>
          <cell r="K25">
            <v>1558000</v>
          </cell>
          <cell r="L25">
            <v>1450000</v>
          </cell>
          <cell r="M25">
            <v>0.09</v>
          </cell>
          <cell r="N25">
            <v>0</v>
          </cell>
          <cell r="O25">
            <v>0.09</v>
          </cell>
          <cell r="P25">
            <v>0</v>
          </cell>
          <cell r="Q25">
            <v>1809000</v>
          </cell>
          <cell r="S25">
            <v>1809000</v>
          </cell>
          <cell r="U25">
            <v>2144170.9051222601</v>
          </cell>
          <cell r="V25">
            <v>2033259.2839603142</v>
          </cell>
        </row>
        <row r="26">
          <cell r="D26">
            <v>290655</v>
          </cell>
          <cell r="E26">
            <v>266447.03000000003</v>
          </cell>
          <cell r="F26">
            <v>266447</v>
          </cell>
          <cell r="G26">
            <v>266768.91000000003</v>
          </cell>
          <cell r="H26">
            <v>253405.94</v>
          </cell>
          <cell r="I26">
            <v>258629.78</v>
          </cell>
          <cell r="J26">
            <v>283870</v>
          </cell>
          <cell r="K26">
            <v>292500</v>
          </cell>
          <cell r="L26">
            <v>292500</v>
          </cell>
          <cell r="M26">
            <v>292000.03999999998</v>
          </cell>
          <cell r="N26">
            <v>283870</v>
          </cell>
          <cell r="P26">
            <v>283870</v>
          </cell>
          <cell r="Q26">
            <v>273562.92</v>
          </cell>
          <cell r="S26">
            <v>273562.92</v>
          </cell>
          <cell r="U26">
            <v>311649.8076</v>
          </cell>
          <cell r="V26">
            <v>320999.301828</v>
          </cell>
          <cell r="W26">
            <v>330629.28088284004</v>
          </cell>
        </row>
        <row r="28">
          <cell r="C28">
            <v>1812255</v>
          </cell>
          <cell r="F28">
            <v>1544017</v>
          </cell>
          <cell r="J28">
            <v>1379557.24</v>
          </cell>
          <cell r="S28">
            <v>2703328.2385</v>
          </cell>
          <cell r="U28">
            <v>3034225.5694022262</v>
          </cell>
          <cell r="V28">
            <v>2905002.5574957198</v>
          </cell>
          <cell r="W28">
            <v>2814420.0024950467</v>
          </cell>
        </row>
        <row r="35">
          <cell r="C35">
            <v>5454326</v>
          </cell>
          <cell r="D35">
            <v>5911760</v>
          </cell>
          <cell r="F35">
            <v>6041792</v>
          </cell>
          <cell r="J35">
            <v>6169422</v>
          </cell>
          <cell r="S35">
            <v>6306730</v>
          </cell>
          <cell r="U35">
            <v>6564095.8925006725</v>
          </cell>
          <cell r="V35">
            <v>6832376.2108080527</v>
          </cell>
          <cell r="W35">
            <v>7109339.1021250002</v>
          </cell>
        </row>
        <row r="40">
          <cell r="C40">
            <v>350086</v>
          </cell>
          <cell r="D40">
            <v>888954</v>
          </cell>
          <cell r="F40">
            <v>936015</v>
          </cell>
          <cell r="J40">
            <v>688194</v>
          </cell>
          <cell r="S40">
            <v>500801.91999999824</v>
          </cell>
          <cell r="U40">
            <v>1016859.2415865678</v>
          </cell>
          <cell r="V40">
            <v>1130960.2084145488</v>
          </cell>
          <cell r="W40">
            <v>1242250.4957992721</v>
          </cell>
        </row>
      </sheetData>
      <sheetData sheetId="5">
        <row r="8">
          <cell r="Q8">
            <v>415892.22</v>
          </cell>
          <cell r="S8">
            <v>599172.18000000005</v>
          </cell>
          <cell r="U8">
            <v>415327.15000000008</v>
          </cell>
          <cell r="V8">
            <v>487386.19000000414</v>
          </cell>
          <cell r="W8">
            <v>651740.00000000373</v>
          </cell>
          <cell r="X8">
            <v>755303.53000000492</v>
          </cell>
          <cell r="Y8">
            <v>759661.71000000462</v>
          </cell>
        </row>
        <row r="9">
          <cell r="O9">
            <v>374062.37</v>
          </cell>
          <cell r="Q9">
            <v>302305.13</v>
          </cell>
          <cell r="S9">
            <v>308563.82</v>
          </cell>
          <cell r="U9">
            <v>310110.40000000002</v>
          </cell>
          <cell r="V9">
            <v>335000</v>
          </cell>
          <cell r="W9">
            <v>335500</v>
          </cell>
          <cell r="X9">
            <v>336000</v>
          </cell>
          <cell r="Y9">
            <v>337775.35</v>
          </cell>
        </row>
        <row r="11">
          <cell r="O11">
            <v>-4661.3600000000006</v>
          </cell>
          <cell r="Q11">
            <v>2296.7999999999993</v>
          </cell>
          <cell r="S11">
            <v>-2022.9200000000019</v>
          </cell>
          <cell r="U11">
            <v>20780.849999999999</v>
          </cell>
          <cell r="V11">
            <v>33000</v>
          </cell>
          <cell r="W11">
            <v>33000</v>
          </cell>
          <cell r="X11">
            <v>33000</v>
          </cell>
          <cell r="Y11">
            <v>33000</v>
          </cell>
        </row>
        <row r="12">
          <cell r="O12">
            <v>77511.92</v>
          </cell>
          <cell r="Q12">
            <v>46970.9</v>
          </cell>
          <cell r="S12">
            <v>76393.960000000006</v>
          </cell>
          <cell r="U12">
            <v>87559.25</v>
          </cell>
          <cell r="V12">
            <v>87500</v>
          </cell>
          <cell r="W12">
            <v>47000</v>
          </cell>
          <cell r="X12">
            <v>20000</v>
          </cell>
          <cell r="Y12">
            <v>20000</v>
          </cell>
        </row>
        <row r="13">
          <cell r="O13">
            <v>62550.659999999996</v>
          </cell>
          <cell r="Q13">
            <v>43401.97</v>
          </cell>
          <cell r="S13">
            <v>83417.62</v>
          </cell>
          <cell r="U13">
            <v>70843.200000000012</v>
          </cell>
          <cell r="V13">
            <v>125000</v>
          </cell>
          <cell r="W13">
            <v>125000</v>
          </cell>
          <cell r="X13">
            <v>125000</v>
          </cell>
          <cell r="Y13">
            <v>125000</v>
          </cell>
        </row>
        <row r="14">
          <cell r="V14">
            <v>0</v>
          </cell>
          <cell r="W14">
            <v>0</v>
          </cell>
          <cell r="X14">
            <v>100000</v>
          </cell>
          <cell r="Y14">
            <v>300000</v>
          </cell>
        </row>
        <row r="15">
          <cell r="M15">
            <v>6295140.3600000013</v>
          </cell>
          <cell r="O15">
            <v>6292402.2100000009</v>
          </cell>
          <cell r="Q15">
            <v>6277295.2000000011</v>
          </cell>
          <cell r="S15">
            <v>6314703.7100000009</v>
          </cell>
          <cell r="U15">
            <v>6411476.3200000003</v>
          </cell>
          <cell r="V15">
            <v>6532203.7100000009</v>
          </cell>
          <cell r="W15">
            <v>7149703.7100000009</v>
          </cell>
          <cell r="X15">
            <v>7767203.7100000009</v>
          </cell>
          <cell r="Y15">
            <v>8184703.7100000009</v>
          </cell>
        </row>
        <row r="21">
          <cell r="O21">
            <v>64386.44</v>
          </cell>
          <cell r="Q21">
            <v>70560.959999999992</v>
          </cell>
          <cell r="S21">
            <v>130913.64000000001</v>
          </cell>
          <cell r="U21">
            <v>139850.59</v>
          </cell>
          <cell r="V21">
            <v>90000</v>
          </cell>
          <cell r="W21">
            <v>90000</v>
          </cell>
          <cell r="X21">
            <v>90000</v>
          </cell>
          <cell r="Y21">
            <v>90000</v>
          </cell>
        </row>
        <row r="22">
          <cell r="O22">
            <v>31459.54</v>
          </cell>
          <cell r="Q22">
            <v>31459.55</v>
          </cell>
          <cell r="S22">
            <v>31459.55</v>
          </cell>
          <cell r="U22">
            <v>31459.66</v>
          </cell>
          <cell r="V22">
            <v>39000</v>
          </cell>
          <cell r="W22">
            <v>39000</v>
          </cell>
          <cell r="X22">
            <v>39000</v>
          </cell>
          <cell r="Y22">
            <v>39000</v>
          </cell>
        </row>
        <row r="23">
          <cell r="O23">
            <v>352411.68</v>
          </cell>
          <cell r="Q23">
            <v>239705.33</v>
          </cell>
          <cell r="S23">
            <v>324704.33</v>
          </cell>
          <cell r="U23">
            <v>198338.43</v>
          </cell>
          <cell r="V23">
            <v>350000</v>
          </cell>
          <cell r="W23">
            <v>360000</v>
          </cell>
          <cell r="X23">
            <v>375000</v>
          </cell>
          <cell r="Y23">
            <v>398000</v>
          </cell>
        </row>
        <row r="24">
          <cell r="O24">
            <v>174035.75000000003</v>
          </cell>
          <cell r="Q24">
            <v>53752.259999999951</v>
          </cell>
          <cell r="S24">
            <v>88882.880000000063</v>
          </cell>
          <cell r="U24">
            <v>80160.709999999963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O25">
            <v>0.09</v>
          </cell>
          <cell r="Q25"/>
          <cell r="V25">
            <v>300000</v>
          </cell>
          <cell r="W25">
            <v>975000</v>
          </cell>
          <cell r="X25">
            <v>1650000</v>
          </cell>
          <cell r="Y25">
            <v>2125000</v>
          </cell>
        </row>
        <row r="26">
          <cell r="M26">
            <v>292000.03999999998</v>
          </cell>
          <cell r="O26">
            <v>291260.01</v>
          </cell>
          <cell r="Q26">
            <v>293766.40999999997</v>
          </cell>
          <cell r="S26">
            <v>328658.82</v>
          </cell>
          <cell r="U26">
            <v>316433.92000000004</v>
          </cell>
          <cell r="V26">
            <v>292000</v>
          </cell>
          <cell r="W26">
            <v>292000</v>
          </cell>
          <cell r="X26">
            <v>292000</v>
          </cell>
          <cell r="Y26">
            <v>292000</v>
          </cell>
        </row>
      </sheetData>
      <sheetData sheetId="6">
        <row r="10">
          <cell r="H10">
            <v>324000</v>
          </cell>
          <cell r="J10">
            <v>81000</v>
          </cell>
          <cell r="P10">
            <v>164340</v>
          </cell>
          <cell r="R10">
            <v>328680</v>
          </cell>
          <cell r="S10">
            <v>82500</v>
          </cell>
          <cell r="T10">
            <v>82500</v>
          </cell>
          <cell r="V10">
            <v>82500</v>
          </cell>
          <cell r="Y10">
            <v>82500</v>
          </cell>
          <cell r="Z10">
            <v>82500</v>
          </cell>
          <cell r="AB10">
            <v>330000</v>
          </cell>
          <cell r="AD10">
            <v>320183.63636363635</v>
          </cell>
          <cell r="AE10">
            <v>335399.54545454547</v>
          </cell>
          <cell r="AF10">
            <v>351071.93181818182</v>
          </cell>
        </row>
        <row r="12">
          <cell r="V12">
            <v>7500</v>
          </cell>
          <cell r="Y12">
            <v>7500</v>
          </cell>
          <cell r="Z12">
            <v>7500</v>
          </cell>
          <cell r="AB12">
            <v>30000</v>
          </cell>
          <cell r="AF12">
            <v>41328.660110355006</v>
          </cell>
        </row>
        <row r="36">
          <cell r="B36" t="str">
            <v>Unrestricted Net Assets</v>
          </cell>
        </row>
      </sheetData>
      <sheetData sheetId="7">
        <row r="10">
          <cell r="AC10">
            <v>110000</v>
          </cell>
        </row>
        <row r="12">
          <cell r="AJ12">
            <v>6351</v>
          </cell>
          <cell r="AK12">
            <v>6351</v>
          </cell>
        </row>
      </sheetData>
      <sheetData sheetId="8">
        <row r="8">
          <cell r="AD8">
            <v>2279691</v>
          </cell>
          <cell r="AF8">
            <v>2597081.73</v>
          </cell>
          <cell r="AG8">
            <v>2674994.1819000002</v>
          </cell>
          <cell r="AH8">
            <v>2755244.0073570004</v>
          </cell>
        </row>
        <row r="15">
          <cell r="AD15">
            <v>5980</v>
          </cell>
          <cell r="AF15">
            <v>4240.3850000000002</v>
          </cell>
          <cell r="AG15">
            <v>4318.8321225</v>
          </cell>
        </row>
        <row r="18">
          <cell r="D18">
            <v>2694343</v>
          </cell>
          <cell r="K18">
            <v>2569859</v>
          </cell>
          <cell r="R18">
            <v>2505533.77</v>
          </cell>
          <cell r="AD18">
            <v>2634363</v>
          </cell>
          <cell r="AF18">
            <v>2932822.1149999998</v>
          </cell>
          <cell r="AG18">
            <v>3015813.0140225003</v>
          </cell>
          <cell r="AH18">
            <v>3098642.7378737666</v>
          </cell>
        </row>
        <row r="24">
          <cell r="D24">
            <v>2275330</v>
          </cell>
          <cell r="E24">
            <v>2609863</v>
          </cell>
          <cell r="K24">
            <v>2439832</v>
          </cell>
          <cell r="R24">
            <v>2377901</v>
          </cell>
          <cell r="AD24">
            <v>2497055</v>
          </cell>
          <cell r="AF24">
            <v>2675456.2224993268</v>
          </cell>
          <cell r="AG24">
            <v>2747532.6957151201</v>
          </cell>
          <cell r="AH24">
            <v>2821679.8465568186</v>
          </cell>
        </row>
        <row r="26">
          <cell r="J26">
            <v>38966.910000000149</v>
          </cell>
          <cell r="L26">
            <v>21074.749999999884</v>
          </cell>
          <cell r="M26">
            <v>46873.870000000345</v>
          </cell>
          <cell r="N26">
            <v>-3422.9699999996228</v>
          </cell>
          <cell r="O26">
            <v>37767.179999999818</v>
          </cell>
          <cell r="Q26">
            <v>64529.920000000158</v>
          </cell>
          <cell r="R26">
            <v>127632.77000000002</v>
          </cell>
          <cell r="U26">
            <v>29575.560000000056</v>
          </cell>
          <cell r="V26">
            <v>-2001</v>
          </cell>
          <cell r="X26">
            <v>17902</v>
          </cell>
          <cell r="AA26">
            <v>60271</v>
          </cell>
          <cell r="AB26">
            <v>61136</v>
          </cell>
          <cell r="AD26">
            <v>137308</v>
          </cell>
          <cell r="AF26">
            <v>257365.89250067296</v>
          </cell>
          <cell r="AG26">
            <v>268280.31830738019</v>
          </cell>
          <cell r="AH26">
            <v>276962.89131694799</v>
          </cell>
        </row>
        <row r="30">
          <cell r="D30">
            <v>501435</v>
          </cell>
          <cell r="K30">
            <v>147209</v>
          </cell>
          <cell r="R30">
            <v>134463.77000000002</v>
          </cell>
          <cell r="AD30">
            <v>179819.5</v>
          </cell>
          <cell r="AF30">
            <v>360855.46499999962</v>
          </cell>
          <cell r="AG30">
            <v>366687.3645225006</v>
          </cell>
          <cell r="AH30">
            <v>370043.31888876663</v>
          </cell>
        </row>
        <row r="31">
          <cell r="AD31">
            <v>509819.5</v>
          </cell>
          <cell r="AF31">
            <v>681039.10136363597</v>
          </cell>
          <cell r="AG31">
            <v>702086.90997704607</v>
          </cell>
          <cell r="AH31">
            <v>721115.25070694846</v>
          </cell>
        </row>
        <row r="36">
          <cell r="A36" t="str">
            <v>Last Modified on Apr 30, 2018. 4:33PM</v>
          </cell>
        </row>
      </sheetData>
      <sheetData sheetId="9"/>
      <sheetData sheetId="10">
        <row r="24">
          <cell r="AI24">
            <v>673004.04999999993</v>
          </cell>
          <cell r="AJ24">
            <v>693545.14</v>
          </cell>
          <cell r="AK24">
            <v>689434.19</v>
          </cell>
          <cell r="AL24">
            <v>694206.47</v>
          </cell>
          <cell r="AN24">
            <v>2757842.27</v>
          </cell>
        </row>
        <row r="26">
          <cell r="W26">
            <v>103341.83999999997</v>
          </cell>
          <cell r="AA26">
            <v>125308.92999999993</v>
          </cell>
          <cell r="AE26">
            <v>76691.220000000088</v>
          </cell>
          <cell r="AI26">
            <v>74244.930000000051</v>
          </cell>
          <cell r="AJ26">
            <v>53480.859999999986</v>
          </cell>
          <cell r="AK26">
            <v>56853.810000000056</v>
          </cell>
          <cell r="AL26">
            <v>104563.53000000003</v>
          </cell>
          <cell r="AM26">
            <v>125633.53000000003</v>
          </cell>
          <cell r="AN26">
            <v>340531.73</v>
          </cell>
        </row>
      </sheetData>
      <sheetData sheetId="11">
        <row r="7">
          <cell r="B7">
            <v>325000</v>
          </cell>
        </row>
        <row r="8">
          <cell r="B8">
            <v>330000</v>
          </cell>
        </row>
        <row r="9">
          <cell r="B9">
            <v>30000</v>
          </cell>
        </row>
        <row r="10">
          <cell r="B10">
            <v>1.2500000000000001E-2</v>
          </cell>
        </row>
        <row r="11">
          <cell r="B11">
            <v>2.2499999999999999E-2</v>
          </cell>
        </row>
        <row r="12">
          <cell r="B12">
            <v>4.7500000000000001E-2</v>
          </cell>
        </row>
        <row r="13">
          <cell r="B13">
            <v>3.5000000000000003E-2</v>
          </cell>
        </row>
        <row r="14">
          <cell r="B14">
            <v>0.1535</v>
          </cell>
        </row>
        <row r="15">
          <cell r="B15">
            <v>1.4999999999999999E-2</v>
          </cell>
        </row>
        <row r="16">
          <cell r="B16">
            <v>425000</v>
          </cell>
        </row>
        <row r="17">
          <cell r="B17">
            <v>0</v>
          </cell>
        </row>
        <row r="18">
          <cell r="B18">
            <v>2010000</v>
          </cell>
        </row>
        <row r="19">
          <cell r="B19">
            <v>1809000</v>
          </cell>
        </row>
        <row r="22">
          <cell r="B22">
            <v>0.12</v>
          </cell>
        </row>
        <row r="31">
          <cell r="B31">
            <v>3.5000000000000003E-2</v>
          </cell>
        </row>
        <row r="32">
          <cell r="B32">
            <v>1.4999999999999999E-2</v>
          </cell>
        </row>
        <row r="33">
          <cell r="B33">
            <v>1.4999999999999999E-2</v>
          </cell>
        </row>
        <row r="34">
          <cell r="B34">
            <v>0.1535</v>
          </cell>
        </row>
        <row r="35">
          <cell r="B35">
            <v>100000</v>
          </cell>
        </row>
        <row r="36">
          <cell r="B36">
            <v>100000</v>
          </cell>
        </row>
        <row r="37">
          <cell r="B37">
            <v>0</v>
          </cell>
        </row>
        <row r="38">
          <cell r="B38">
            <v>0.12</v>
          </cell>
        </row>
        <row r="39">
          <cell r="B39">
            <v>334750</v>
          </cell>
        </row>
        <row r="40">
          <cell r="B40">
            <v>1.2500000000000001E-2</v>
          </cell>
        </row>
        <row r="41">
          <cell r="B41">
            <v>2.2499999999999999E-2</v>
          </cell>
        </row>
        <row r="42">
          <cell r="B42">
            <v>4.7500000000000001E-2</v>
          </cell>
        </row>
        <row r="50">
          <cell r="B50">
            <v>3.5000000000000003E-2</v>
          </cell>
        </row>
        <row r="51">
          <cell r="B51">
            <v>1.4999999999999999E-2</v>
          </cell>
        </row>
        <row r="52">
          <cell r="B52">
            <v>1.4999999999999999E-2</v>
          </cell>
        </row>
        <row r="53">
          <cell r="B53">
            <v>0.1535</v>
          </cell>
        </row>
        <row r="54">
          <cell r="B54">
            <v>0</v>
          </cell>
        </row>
        <row r="55">
          <cell r="B55">
            <v>43224.27</v>
          </cell>
        </row>
        <row r="56">
          <cell r="B56">
            <v>0</v>
          </cell>
        </row>
        <row r="57">
          <cell r="B57">
            <v>0.12</v>
          </cell>
        </row>
        <row r="58">
          <cell r="B58">
            <v>344792.5</v>
          </cell>
        </row>
        <row r="59">
          <cell r="B59">
            <v>1.2500000000000001E-2</v>
          </cell>
        </row>
        <row r="60">
          <cell r="B60">
            <v>2.2499999999999999E-2</v>
          </cell>
        </row>
        <row r="61">
          <cell r="B61">
            <v>4.7500000000000001E-2</v>
          </cell>
        </row>
        <row r="69">
          <cell r="B69">
            <v>3.5000000000000003E-2</v>
          </cell>
        </row>
        <row r="70">
          <cell r="B70">
            <v>1.4999999999999999E-2</v>
          </cell>
        </row>
        <row r="71">
          <cell r="B71">
            <v>1.4999999999999999E-2</v>
          </cell>
        </row>
        <row r="72">
          <cell r="B72">
            <v>0.1535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55000</v>
          </cell>
        </row>
        <row r="76">
          <cell r="B76">
            <v>0.12</v>
          </cell>
        </row>
        <row r="77">
          <cell r="B77">
            <v>355136.27500000002</v>
          </cell>
        </row>
        <row r="78">
          <cell r="B78">
            <v>1.2500000000000001E-2</v>
          </cell>
        </row>
        <row r="79">
          <cell r="B79">
            <v>2.2499999999999999E-2</v>
          </cell>
        </row>
        <row r="80">
          <cell r="B80">
            <v>4.7500000000000001E-2</v>
          </cell>
        </row>
      </sheetData>
      <sheetData sheetId="12"/>
      <sheetData sheetId="13"/>
      <sheetData sheetId="14">
        <row r="9">
          <cell r="E9">
            <v>17443.222281422204</v>
          </cell>
        </row>
        <row r="14">
          <cell r="R14">
            <v>2144170.9051222601</v>
          </cell>
        </row>
        <row r="18">
          <cell r="R18">
            <v>2033259.2839603142</v>
          </cell>
        </row>
        <row r="21">
          <cell r="S21">
            <v>116238.23980524778</v>
          </cell>
        </row>
        <row r="22">
          <cell r="R22">
            <v>1917021.0441550664</v>
          </cell>
        </row>
      </sheetData>
      <sheetData sheetId="15">
        <row r="2">
          <cell r="AM2">
            <v>107934.51</v>
          </cell>
          <cell r="AQ2">
            <v>72677.41</v>
          </cell>
          <cell r="AU2">
            <v>131828.49</v>
          </cell>
          <cell r="AY2">
            <v>258944.11</v>
          </cell>
          <cell r="BC2">
            <v>157798.32</v>
          </cell>
        </row>
        <row r="3">
          <cell r="H3">
            <v>58965.279999999999</v>
          </cell>
          <cell r="M3">
            <v>47786.8</v>
          </cell>
          <cell r="R3">
            <v>83738.850000000006</v>
          </cell>
          <cell r="W3">
            <v>70833.430000000008</v>
          </cell>
          <cell r="AA3">
            <v>103227.13</v>
          </cell>
          <cell r="AE3">
            <v>230908.43</v>
          </cell>
          <cell r="AM3">
            <v>1023.21</v>
          </cell>
          <cell r="AQ3">
            <v>1023.21</v>
          </cell>
          <cell r="AU3">
            <v>22144.57</v>
          </cell>
          <cell r="AY3">
            <v>1023.21</v>
          </cell>
          <cell r="BC3">
            <v>22144.57</v>
          </cell>
        </row>
        <row r="4">
          <cell r="H4">
            <v>68687.31</v>
          </cell>
          <cell r="M4">
            <v>149799.35</v>
          </cell>
          <cell r="R4">
            <v>5973.49</v>
          </cell>
          <cell r="AA4">
            <v>0</v>
          </cell>
          <cell r="AM4">
            <v>22144.57</v>
          </cell>
          <cell r="AQ4">
            <v>22144.57</v>
          </cell>
          <cell r="AU4">
            <v>132113.4</v>
          </cell>
          <cell r="AY4">
            <v>22144.57</v>
          </cell>
          <cell r="BC4">
            <v>101410.4</v>
          </cell>
        </row>
        <row r="5">
          <cell r="H5">
            <v>26762.38</v>
          </cell>
          <cell r="M5">
            <v>0</v>
          </cell>
          <cell r="R5">
            <v>42297.73</v>
          </cell>
          <cell r="AA5">
            <v>12447.74</v>
          </cell>
          <cell r="AM5">
            <v>30312.43</v>
          </cell>
          <cell r="AQ5">
            <v>27082.67</v>
          </cell>
          <cell r="AU5">
            <v>1175.58</v>
          </cell>
          <cell r="AY5">
            <v>22222.59</v>
          </cell>
          <cell r="BC5">
            <v>1175.58</v>
          </cell>
        </row>
        <row r="6">
          <cell r="H6"/>
          <cell r="M6">
            <v>29797.73</v>
          </cell>
          <cell r="R6">
            <v>15327.69</v>
          </cell>
          <cell r="AA6">
            <v>77312.28</v>
          </cell>
          <cell r="AM6">
            <v>110908.69</v>
          </cell>
          <cell r="AQ6">
            <v>243627.35</v>
          </cell>
          <cell r="AU6">
            <v>10817.42</v>
          </cell>
          <cell r="AY6">
            <v>187050.9</v>
          </cell>
          <cell r="BC6">
            <v>14364.34</v>
          </cell>
        </row>
        <row r="7">
          <cell r="H7">
            <v>13346.02</v>
          </cell>
          <cell r="M7">
            <v>38997.339999999997</v>
          </cell>
          <cell r="R7">
            <v>2330.52</v>
          </cell>
          <cell r="AA7">
            <v>1175.58</v>
          </cell>
          <cell r="AM7">
            <v>1175.58</v>
          </cell>
          <cell r="AQ7">
            <v>1175.58</v>
          </cell>
          <cell r="AU7">
            <v>1023.21</v>
          </cell>
          <cell r="AY7">
            <v>1175.58</v>
          </cell>
          <cell r="BC7">
            <v>1023.21</v>
          </cell>
        </row>
        <row r="8">
          <cell r="H8"/>
          <cell r="M8"/>
          <cell r="R8">
            <v>1175.46</v>
          </cell>
          <cell r="AA8">
            <v>4656.3100000000004</v>
          </cell>
          <cell r="AM8">
            <v>16737.939999999999</v>
          </cell>
          <cell r="AQ8">
            <v>12274.55</v>
          </cell>
          <cell r="AU8">
            <v>29623.08</v>
          </cell>
          <cell r="AY8">
            <v>14364.34</v>
          </cell>
          <cell r="BC8">
            <v>23950.05</v>
          </cell>
        </row>
        <row r="9">
          <cell r="H9"/>
          <cell r="M9"/>
          <cell r="R9">
            <v>14298.02</v>
          </cell>
          <cell r="AA9">
            <v>1038.21</v>
          </cell>
          <cell r="AM9">
            <v>100</v>
          </cell>
          <cell r="AQ9">
            <v>100</v>
          </cell>
          <cell r="AU9">
            <v>100</v>
          </cell>
          <cell r="AY9">
            <v>100</v>
          </cell>
          <cell r="BC9">
            <v>100</v>
          </cell>
        </row>
        <row r="10">
          <cell r="H10">
            <v>102344.99</v>
          </cell>
          <cell r="M10">
            <v>2366.46</v>
          </cell>
          <cell r="R10">
            <v>100</v>
          </cell>
          <cell r="AA10">
            <v>11387.62</v>
          </cell>
          <cell r="AM10">
            <v>673260.43</v>
          </cell>
          <cell r="AQ10">
            <v>80520.7</v>
          </cell>
          <cell r="AU10">
            <v>87066.47</v>
          </cell>
          <cell r="AY10">
            <v>92146.880000000005</v>
          </cell>
          <cell r="BC10">
            <v>246.66</v>
          </cell>
        </row>
        <row r="11">
          <cell r="H11">
            <v>1049.1300000000001</v>
          </cell>
          <cell r="M11">
            <v>1175.3699999999999</v>
          </cell>
          <cell r="R11">
            <v>19989.580000000002</v>
          </cell>
          <cell r="AA11">
            <v>100</v>
          </cell>
          <cell r="AM11">
            <v>17379.38</v>
          </cell>
          <cell r="AU11">
            <v>302305.13</v>
          </cell>
          <cell r="AY11">
            <v>308563.82</v>
          </cell>
          <cell r="BC11">
            <v>93114.02</v>
          </cell>
        </row>
        <row r="12">
          <cell r="H12">
            <v>20995.15</v>
          </cell>
          <cell r="M12">
            <v>22597.95</v>
          </cell>
          <cell r="R12">
            <v>25165.9</v>
          </cell>
          <cell r="AA12">
            <v>40.619999999999997</v>
          </cell>
          <cell r="AM12">
            <v>55643.09</v>
          </cell>
          <cell r="AQ12">
            <v>293541.67</v>
          </cell>
          <cell r="AU12">
            <v>18206.3</v>
          </cell>
          <cell r="AY12">
            <v>23173.19</v>
          </cell>
          <cell r="BC12" t="str">
            <v xml:space="preserve"> $                     -  </v>
          </cell>
        </row>
        <row r="13">
          <cell r="H13">
            <v>100</v>
          </cell>
          <cell r="M13">
            <v>37378.700000000004</v>
          </cell>
          <cell r="R13">
            <v>0</v>
          </cell>
          <cell r="AA13">
            <v>-7.88</v>
          </cell>
          <cell r="AM13">
            <v>-66674.25</v>
          </cell>
          <cell r="AQ13">
            <v>5091.3100000000004</v>
          </cell>
          <cell r="AU13">
            <v>-2203.5</v>
          </cell>
          <cell r="AY13">
            <v>-2203.5</v>
          </cell>
          <cell r="BC13" t="str">
            <v xml:space="preserve"> $                     -  </v>
          </cell>
        </row>
        <row r="14">
          <cell r="H14"/>
          <cell r="M14"/>
          <cell r="R14">
            <v>628248.38</v>
          </cell>
          <cell r="W14">
            <v>835000</v>
          </cell>
          <cell r="AA14">
            <v>0</v>
          </cell>
          <cell r="AE14">
            <v>835000</v>
          </cell>
          <cell r="AM14">
            <v>65181.58</v>
          </cell>
          <cell r="AQ14">
            <v>40705.620000000003</v>
          </cell>
          <cell r="AU14">
            <v>46970.9</v>
          </cell>
          <cell r="AY14">
            <v>76393.960000000006</v>
          </cell>
          <cell r="BC14">
            <v>310110.40000000002</v>
          </cell>
        </row>
        <row r="15">
          <cell r="H15">
            <v>19415.96</v>
          </cell>
          <cell r="M15">
            <v>19418.36</v>
          </cell>
          <cell r="R15">
            <v>262990.40000000002</v>
          </cell>
          <cell r="W15">
            <v>46000</v>
          </cell>
          <cell r="AA15">
            <v>646534.53</v>
          </cell>
          <cell r="AE15">
            <v>46000</v>
          </cell>
          <cell r="AM15">
            <v>-335607.19</v>
          </cell>
          <cell r="AQ15">
            <v>-37410.980000000003</v>
          </cell>
          <cell r="AU15">
            <v>158019.17000000001</v>
          </cell>
          <cell r="AY15">
            <v>185314.05</v>
          </cell>
          <cell r="BC15">
            <v>87559.25</v>
          </cell>
        </row>
        <row r="16">
          <cell r="H16">
            <v>25155.919999999998</v>
          </cell>
          <cell r="M16">
            <v>25160.91</v>
          </cell>
          <cell r="R16">
            <v>194796.64</v>
          </cell>
          <cell r="W16">
            <v>195000</v>
          </cell>
          <cell r="AA16">
            <v>14279.52</v>
          </cell>
          <cell r="AE16">
            <v>195000</v>
          </cell>
          <cell r="AM16">
            <v>99939.77</v>
          </cell>
          <cell r="AQ16">
            <v>5750</v>
          </cell>
          <cell r="AU16">
            <v>77969.899999999994</v>
          </cell>
          <cell r="AY16">
            <v>15544.4</v>
          </cell>
          <cell r="BC16">
            <v>45976.959999999999</v>
          </cell>
        </row>
        <row r="17">
          <cell r="H17">
            <v>813907.17</v>
          </cell>
          <cell r="M17">
            <v>809608.07</v>
          </cell>
          <cell r="R17">
            <v>-180294.85</v>
          </cell>
          <cell r="W17">
            <v>-180033</v>
          </cell>
          <cell r="AA17">
            <v>148881.97</v>
          </cell>
          <cell r="AE17">
            <v>-180033</v>
          </cell>
          <cell r="AM17">
            <v>-24614.71</v>
          </cell>
          <cell r="AQ17">
            <v>77511.92</v>
          </cell>
          <cell r="AU17">
            <v>-5170.8999999999996</v>
          </cell>
          <cell r="AY17">
            <v>55117.78</v>
          </cell>
          <cell r="BC17">
            <v>-2203.5</v>
          </cell>
        </row>
        <row r="18">
          <cell r="H18">
            <v>66973.23</v>
          </cell>
          <cell r="M18">
            <v>67794.91</v>
          </cell>
          <cell r="R18">
            <v>82508.740000000005</v>
          </cell>
          <cell r="W18">
            <v>38000</v>
          </cell>
          <cell r="AA18">
            <v>-140331.53</v>
          </cell>
          <cell r="AE18">
            <v>38000</v>
          </cell>
          <cell r="AM18">
            <v>-5170.8999999999996</v>
          </cell>
          <cell r="AQ18">
            <v>41642.400000000001</v>
          </cell>
          <cell r="AU18">
            <v>14116.75</v>
          </cell>
          <cell r="AY18">
            <v>0</v>
          </cell>
          <cell r="BC18">
            <v>227766.39</v>
          </cell>
        </row>
        <row r="19">
          <cell r="C19">
            <v>247729.66</v>
          </cell>
          <cell r="H19">
            <v>255758.71</v>
          </cell>
          <cell r="M19">
            <v>197792.67</v>
          </cell>
          <cell r="R19">
            <v>-332311.75</v>
          </cell>
          <cell r="W19">
            <v>-201413.19</v>
          </cell>
          <cell r="AA19">
            <v>100744.84</v>
          </cell>
          <cell r="AE19">
            <v>-201413.19</v>
          </cell>
          <cell r="AM19">
            <v>54358.87</v>
          </cell>
          <cell r="AQ19">
            <v>74063.179999999993</v>
          </cell>
          <cell r="AU19">
            <v>25287.06</v>
          </cell>
          <cell r="AY19">
            <v>24882.36</v>
          </cell>
          <cell r="BC19">
            <v>-18185.759999999998</v>
          </cell>
        </row>
        <row r="20">
          <cell r="C20">
            <v>-181000</v>
          </cell>
          <cell r="H20">
            <v>-180294.85</v>
          </cell>
          <cell r="M20">
            <v>-180294.85</v>
          </cell>
          <cell r="R20">
            <v>179215.16</v>
          </cell>
          <cell r="W20">
            <v>179215.16</v>
          </cell>
          <cell r="AA20">
            <v>143387.34</v>
          </cell>
          <cell r="AE20">
            <v>179215.16</v>
          </cell>
          <cell r="AM20">
            <v>9638.94</v>
          </cell>
          <cell r="AQ20">
            <v>-44895.61</v>
          </cell>
          <cell r="AU20">
            <v>-12830.18</v>
          </cell>
          <cell r="AY20">
            <v>-12830.18</v>
          </cell>
          <cell r="BC20">
            <v>38606.11</v>
          </cell>
        </row>
        <row r="21">
          <cell r="C21">
            <v>17266.03</v>
          </cell>
          <cell r="H21">
            <v>4000</v>
          </cell>
          <cell r="M21">
            <v>4000</v>
          </cell>
          <cell r="R21">
            <v>8067.98</v>
          </cell>
          <cell r="W21">
            <v>8067.98</v>
          </cell>
          <cell r="AA21">
            <v>-378958.65</v>
          </cell>
          <cell r="AE21">
            <v>8067.98</v>
          </cell>
          <cell r="AM21">
            <v>-12830.18</v>
          </cell>
          <cell r="AQ21">
            <v>-5170.8999999999996</v>
          </cell>
          <cell r="AU21">
            <v>3583.48</v>
          </cell>
          <cell r="AY21">
            <v>3417.48</v>
          </cell>
          <cell r="BC21">
            <v>5824.94</v>
          </cell>
        </row>
        <row r="22">
          <cell r="C22">
            <v>-7034.3</v>
          </cell>
          <cell r="H22"/>
          <cell r="R22">
            <v>24140.400000000001</v>
          </cell>
          <cell r="W22">
            <v>24140.400000000001</v>
          </cell>
          <cell r="AA22">
            <v>5226.5</v>
          </cell>
          <cell r="AE22">
            <v>24140.400000000001</v>
          </cell>
          <cell r="AM22">
            <v>3166.5</v>
          </cell>
          <cell r="AQ22">
            <v>68670.559999999998</v>
          </cell>
          <cell r="AU22">
            <v>12830.18</v>
          </cell>
          <cell r="AY22">
            <v>12830.18</v>
          </cell>
          <cell r="BC22">
            <v>24882.36</v>
          </cell>
        </row>
        <row r="23">
          <cell r="H23"/>
          <cell r="R23">
            <v>-12606.36</v>
          </cell>
          <cell r="W23">
            <v>-12606.36</v>
          </cell>
          <cell r="AA23">
            <v>9057.41</v>
          </cell>
          <cell r="AE23">
            <v>-12606.36</v>
          </cell>
          <cell r="AM23">
            <v>12830.18</v>
          </cell>
          <cell r="AQ23">
            <v>25691.759999999998</v>
          </cell>
          <cell r="AU23">
            <v>42050.7</v>
          </cell>
          <cell r="AY23">
            <v>42050.7</v>
          </cell>
          <cell r="BC23">
            <v>-12830.18</v>
          </cell>
        </row>
        <row r="24">
          <cell r="H24">
            <v>118894.65</v>
          </cell>
          <cell r="M24">
            <v>62032.86</v>
          </cell>
          <cell r="R24">
            <v>3855.83</v>
          </cell>
          <cell r="W24">
            <v>3855.83</v>
          </cell>
          <cell r="AA24">
            <v>-12606.36</v>
          </cell>
          <cell r="AE24">
            <v>3855.83</v>
          </cell>
          <cell r="AM24">
            <v>42050.7</v>
          </cell>
          <cell r="AQ24">
            <v>-12830.18</v>
          </cell>
          <cell r="AU24">
            <v>47665.61</v>
          </cell>
          <cell r="AY24">
            <v>47665.61</v>
          </cell>
          <cell r="BC24">
            <v>3749.48</v>
          </cell>
        </row>
        <row r="25">
          <cell r="H25">
            <v>-69418.67</v>
          </cell>
          <cell r="M25">
            <v>-308790.38</v>
          </cell>
          <cell r="R25">
            <v>12830.18</v>
          </cell>
          <cell r="W25">
            <v>12830.18</v>
          </cell>
          <cell r="AA25">
            <v>3000.5</v>
          </cell>
          <cell r="AE25">
            <v>12830.18</v>
          </cell>
          <cell r="AM25">
            <v>47665.61</v>
          </cell>
          <cell r="AQ25">
            <v>3583.5</v>
          </cell>
          <cell r="AU25">
            <v>4213.34</v>
          </cell>
          <cell r="AY25">
            <v>4213.34</v>
          </cell>
          <cell r="BC25">
            <v>12830.18</v>
          </cell>
        </row>
        <row r="26">
          <cell r="H26">
            <v>7990.5899999999965</v>
          </cell>
          <cell r="M26">
            <v>85854.34</v>
          </cell>
          <cell r="R26">
            <v>42050.7</v>
          </cell>
          <cell r="W26">
            <v>42050.7</v>
          </cell>
          <cell r="AA26">
            <v>12830.18</v>
          </cell>
          <cell r="AE26">
            <v>42050.7</v>
          </cell>
          <cell r="AM26">
            <v>4213.34</v>
          </cell>
          <cell r="AQ26">
            <v>12830.18</v>
          </cell>
          <cell r="AU26">
            <v>191951.6</v>
          </cell>
          <cell r="AY26">
            <v>191951.6</v>
          </cell>
          <cell r="BC26">
            <v>42050.7</v>
          </cell>
        </row>
        <row r="27">
          <cell r="H27">
            <v>2518.88</v>
          </cell>
          <cell r="M27">
            <v>0</v>
          </cell>
          <cell r="R27">
            <v>47665.61</v>
          </cell>
          <cell r="W27">
            <v>47665.61</v>
          </cell>
          <cell r="AA27">
            <v>42050.7</v>
          </cell>
          <cell r="AE27">
            <v>47665.61</v>
          </cell>
          <cell r="AM27">
            <v>191951.6</v>
          </cell>
          <cell r="AQ27">
            <v>42050.7</v>
          </cell>
          <cell r="AU27">
            <v>922166.68</v>
          </cell>
          <cell r="AY27">
            <v>922166.68</v>
          </cell>
          <cell r="BC27">
            <v>47665.61</v>
          </cell>
        </row>
        <row r="28">
          <cell r="H28">
            <v>58316.26</v>
          </cell>
          <cell r="M28">
            <v>24877.07</v>
          </cell>
          <cell r="R28">
            <v>4213.34</v>
          </cell>
          <cell r="W28">
            <v>4213.34</v>
          </cell>
          <cell r="AA28">
            <v>47665.61</v>
          </cell>
          <cell r="AE28">
            <v>4213.34</v>
          </cell>
          <cell r="AM28">
            <v>922166.68</v>
          </cell>
          <cell r="AQ28">
            <v>47665.61</v>
          </cell>
          <cell r="AU28">
            <v>203966.3</v>
          </cell>
          <cell r="AY28">
            <v>203966.3</v>
          </cell>
          <cell r="BC28">
            <v>4213.34</v>
          </cell>
        </row>
        <row r="29">
          <cell r="M29">
            <v>207.5</v>
          </cell>
          <cell r="R29">
            <v>189951.6</v>
          </cell>
          <cell r="W29">
            <v>189951.6</v>
          </cell>
          <cell r="AA29">
            <v>4213.34</v>
          </cell>
          <cell r="AE29">
            <v>189951.6</v>
          </cell>
          <cell r="AM29">
            <v>203966.3</v>
          </cell>
          <cell r="AQ29">
            <v>4213.34</v>
          </cell>
          <cell r="AU29">
            <v>10914447.73</v>
          </cell>
          <cell r="AY29">
            <v>11062529.24</v>
          </cell>
          <cell r="BC29">
            <v>191951.6</v>
          </cell>
        </row>
        <row r="30">
          <cell r="H30">
            <v>-12606.36</v>
          </cell>
          <cell r="M30">
            <v>-12606.36</v>
          </cell>
          <cell r="R30">
            <v>914201.68</v>
          </cell>
          <cell r="W30">
            <v>914201.68</v>
          </cell>
          <cell r="AA30">
            <v>189951.6</v>
          </cell>
          <cell r="AE30">
            <v>914201.68</v>
          </cell>
          <cell r="AM30">
            <v>10767292.890000001</v>
          </cell>
          <cell r="AQ30">
            <v>191951.6</v>
          </cell>
          <cell r="AU30">
            <v>120000</v>
          </cell>
          <cell r="AY30">
            <v>120000</v>
          </cell>
          <cell r="BC30">
            <v>922166.68</v>
          </cell>
        </row>
        <row r="31">
          <cell r="C31">
            <v>12830.18</v>
          </cell>
          <cell r="H31">
            <v>12830.18</v>
          </cell>
          <cell r="M31">
            <v>12830.18</v>
          </cell>
          <cell r="R31">
            <v>203966.3</v>
          </cell>
          <cell r="W31">
            <v>203966.3</v>
          </cell>
          <cell r="AA31">
            <v>922166.68</v>
          </cell>
          <cell r="AE31">
            <v>203966.3</v>
          </cell>
          <cell r="AM31">
            <v>120000</v>
          </cell>
          <cell r="AQ31">
            <v>922166.68</v>
          </cell>
          <cell r="AU31">
            <v>-6150495.4800000004</v>
          </cell>
          <cell r="AY31">
            <v>-6260495.4800000004</v>
          </cell>
          <cell r="BC31">
            <v>203966.3</v>
          </cell>
        </row>
        <row r="32">
          <cell r="H32">
            <v>42050.7</v>
          </cell>
          <cell r="M32">
            <v>42050.7</v>
          </cell>
          <cell r="R32">
            <v>10691327.15</v>
          </cell>
          <cell r="W32">
            <v>12007114.189999999</v>
          </cell>
          <cell r="AA32">
            <v>203966.3</v>
          </cell>
          <cell r="AE32">
            <v>12007114.189999999</v>
          </cell>
          <cell r="AM32">
            <v>-5985495.4800000004</v>
          </cell>
          <cell r="AQ32">
            <v>203966.3</v>
          </cell>
          <cell r="AU32">
            <v>-45415.6</v>
          </cell>
          <cell r="AY32">
            <v>-45415.6</v>
          </cell>
          <cell r="BC32">
            <v>11241128.85</v>
          </cell>
        </row>
        <row r="33">
          <cell r="H33">
            <v>47665.61</v>
          </cell>
          <cell r="M33">
            <v>47665.61</v>
          </cell>
          <cell r="R33">
            <v>120000</v>
          </cell>
          <cell r="W33">
            <v>120000</v>
          </cell>
          <cell r="AA33">
            <v>10710296.68</v>
          </cell>
          <cell r="AE33">
            <v>120000</v>
          </cell>
          <cell r="AM33">
            <v>-45415.6</v>
          </cell>
          <cell r="AQ33">
            <v>10875886.74</v>
          </cell>
          <cell r="AU33">
            <v>38895</v>
          </cell>
          <cell r="AY33">
            <v>38895</v>
          </cell>
          <cell r="BC33">
            <v>120000</v>
          </cell>
        </row>
        <row r="34">
          <cell r="H34">
            <v>4213.34</v>
          </cell>
          <cell r="M34">
            <v>4213.34</v>
          </cell>
          <cell r="R34">
            <v>-5938349.9199999999</v>
          </cell>
          <cell r="W34">
            <v>-5940689.9199999999</v>
          </cell>
          <cell r="AA34">
            <v>120000</v>
          </cell>
          <cell r="AE34">
            <v>-6105029.9199999999</v>
          </cell>
          <cell r="AM34">
            <v>38895</v>
          </cell>
          <cell r="AQ34">
            <v>120000</v>
          </cell>
          <cell r="AU34">
            <v>-12150.68</v>
          </cell>
          <cell r="AY34">
            <v>-12150.68</v>
          </cell>
          <cell r="BC34">
            <v>-6342995.4800000004</v>
          </cell>
        </row>
        <row r="35">
          <cell r="H35">
            <v>189951.6</v>
          </cell>
          <cell r="M35">
            <v>189951.6</v>
          </cell>
          <cell r="R35">
            <v>-44900.22</v>
          </cell>
          <cell r="W35">
            <v>-44900.22</v>
          </cell>
          <cell r="AA35">
            <v>-6019349.9199999999</v>
          </cell>
          <cell r="AE35">
            <v>-44900.22</v>
          </cell>
          <cell r="AM35">
            <v>-12150.68</v>
          </cell>
          <cell r="AQ35">
            <v>-6067995.4800000004</v>
          </cell>
          <cell r="AU35">
            <v>545400.93999999994</v>
          </cell>
          <cell r="AY35">
            <v>545400.93999999994</v>
          </cell>
          <cell r="BC35">
            <v>-45415.6</v>
          </cell>
        </row>
        <row r="36">
          <cell r="H36">
            <v>914201.68</v>
          </cell>
          <cell r="M36">
            <v>914201.68</v>
          </cell>
          <cell r="R36">
            <v>38895</v>
          </cell>
          <cell r="W36">
            <v>38895</v>
          </cell>
          <cell r="AA36">
            <v>-44900.22</v>
          </cell>
          <cell r="AE36">
            <v>38895</v>
          </cell>
          <cell r="AM36">
            <v>545400.93999999994</v>
          </cell>
          <cell r="AQ36">
            <v>-45415.6</v>
          </cell>
          <cell r="AU36">
            <v>-545400.93999999994</v>
          </cell>
          <cell r="AY36">
            <v>-545400.93999999994</v>
          </cell>
          <cell r="BC36">
            <v>38895</v>
          </cell>
        </row>
        <row r="37">
          <cell r="H37">
            <v>203966.3</v>
          </cell>
          <cell r="M37">
            <v>203966.3</v>
          </cell>
          <cell r="R37">
            <v>-10156.06</v>
          </cell>
          <cell r="W37">
            <v>-10156.06</v>
          </cell>
          <cell r="AA37">
            <v>38895</v>
          </cell>
          <cell r="AE37">
            <v>-10156.06</v>
          </cell>
          <cell r="AM37">
            <v>-545400.93999999994</v>
          </cell>
          <cell r="AQ37">
            <v>38895</v>
          </cell>
          <cell r="AU37">
            <v>-58521.71</v>
          </cell>
          <cell r="AY37">
            <v>-116176.1</v>
          </cell>
          <cell r="BC37">
            <v>-12150.68</v>
          </cell>
        </row>
        <row r="38">
          <cell r="H38">
            <v>10222153.189999999</v>
          </cell>
          <cell r="M38">
            <v>10674634.4</v>
          </cell>
          <cell r="R38">
            <v>545400.93999999994</v>
          </cell>
          <cell r="W38">
            <v>545400.93999999994</v>
          </cell>
          <cell r="AA38">
            <v>-10156.06</v>
          </cell>
          <cell r="AE38">
            <v>545400.93999999994</v>
          </cell>
          <cell r="AM38">
            <v>-65428.800000000003</v>
          </cell>
          <cell r="AQ38">
            <v>-12150.68</v>
          </cell>
          <cell r="AU38">
            <v>-12039.25</v>
          </cell>
          <cell r="AY38">
            <v>-14737.54</v>
          </cell>
          <cell r="BC38">
            <v>545400.93999999994</v>
          </cell>
        </row>
        <row r="39">
          <cell r="H39">
            <v>120000</v>
          </cell>
          <cell r="M39">
            <v>120000</v>
          </cell>
          <cell r="R39">
            <v>-545400.93999999994</v>
          </cell>
          <cell r="W39">
            <v>-545400.93999999994</v>
          </cell>
          <cell r="AA39">
            <v>-545400.93999999994</v>
          </cell>
          <cell r="AE39">
            <v>-545400.93999999994</v>
          </cell>
          <cell r="AM39">
            <v>-230.62</v>
          </cell>
          <cell r="AQ39">
            <v>545400.93999999994</v>
          </cell>
          <cell r="AU39">
            <v>-293766.40999999997</v>
          </cell>
          <cell r="AY39">
            <v>-328658.82</v>
          </cell>
          <cell r="BC39">
            <v>-545400.93999999994</v>
          </cell>
        </row>
        <row r="40">
          <cell r="H40">
            <v>-5776349.9199999999</v>
          </cell>
          <cell r="M40">
            <v>-5857349.9199999999</v>
          </cell>
          <cell r="R40">
            <v>-200846.03</v>
          </cell>
          <cell r="W40">
            <v>-40100</v>
          </cell>
          <cell r="AA40">
            <v>545400.93999999994</v>
          </cell>
          <cell r="AE40">
            <v>-40100</v>
          </cell>
          <cell r="AM40">
            <v>-292000.03999999998</v>
          </cell>
          <cell r="AQ40">
            <v>-545400.93999999994</v>
          </cell>
          <cell r="AU40">
            <v>-13706</v>
          </cell>
          <cell r="AY40">
            <v>-22992.61</v>
          </cell>
          <cell r="BC40">
            <v>-116404.33</v>
          </cell>
        </row>
        <row r="41">
          <cell r="H41">
            <v>-44900.22</v>
          </cell>
          <cell r="M41">
            <v>-44900.22</v>
          </cell>
          <cell r="R41">
            <v>-41450.33</v>
          </cell>
          <cell r="AM41">
            <v>-13706</v>
          </cell>
          <cell r="AQ41">
            <v>-51597.599999999999</v>
          </cell>
          <cell r="AU41">
            <v>-0.01</v>
          </cell>
          <cell r="AY41">
            <v>-0.01</v>
          </cell>
          <cell r="BC41">
            <v>-23446.26</v>
          </cell>
        </row>
        <row r="42">
          <cell r="H42">
            <v>38895</v>
          </cell>
          <cell r="M42">
            <v>38895</v>
          </cell>
          <cell r="R42">
            <v>-252543.23</v>
          </cell>
          <cell r="W42">
            <v>-292500</v>
          </cell>
          <cell r="AE42">
            <v>-292500</v>
          </cell>
          <cell r="AM42">
            <v>149.93</v>
          </cell>
          <cell r="AQ42">
            <v>-12788.84</v>
          </cell>
          <cell r="AU42">
            <v>-0.01</v>
          </cell>
          <cell r="AY42">
            <v>-0.01</v>
          </cell>
          <cell r="BC42">
            <v>-316627.84000000003</v>
          </cell>
        </row>
        <row r="43">
          <cell r="H43">
            <v>-10156.06</v>
          </cell>
          <cell r="M43">
            <v>-10156.06</v>
          </cell>
          <cell r="R43">
            <v>-862.71</v>
          </cell>
          <cell r="AM43">
            <v>0.03</v>
          </cell>
          <cell r="AQ43">
            <v>-320092.01</v>
          </cell>
          <cell r="AU43">
            <v>-0.01</v>
          </cell>
          <cell r="AY43">
            <v>-0.01</v>
          </cell>
          <cell r="BC43">
            <v>193.92</v>
          </cell>
        </row>
        <row r="44">
          <cell r="H44">
            <v>545400.93999999994</v>
          </cell>
          <cell r="M44">
            <v>545400.93999999994</v>
          </cell>
          <cell r="R44">
            <v>149.93</v>
          </cell>
          <cell r="W44">
            <v>0</v>
          </cell>
          <cell r="AM44">
            <v>-149.97</v>
          </cell>
          <cell r="AQ44">
            <v>-13706</v>
          </cell>
          <cell r="AU44">
            <v>-69.11</v>
          </cell>
          <cell r="AY44">
            <v>-69.11</v>
          </cell>
          <cell r="BC44">
            <v>-22992.61</v>
          </cell>
        </row>
        <row r="45">
          <cell r="H45">
            <v>-545400.93999999994</v>
          </cell>
          <cell r="M45">
            <v>-545400.93999999994</v>
          </cell>
          <cell r="R45">
            <v>0.03</v>
          </cell>
          <cell r="W45">
            <v>0</v>
          </cell>
          <cell r="AM45">
            <v>-69.11</v>
          </cell>
          <cell r="AQ45">
            <v>149.93</v>
          </cell>
          <cell r="AU45">
            <v>96.89</v>
          </cell>
          <cell r="AY45">
            <v>96.89</v>
          </cell>
          <cell r="BC45">
            <v>-28.06</v>
          </cell>
        </row>
        <row r="46">
          <cell r="H46">
            <v>-155294.01</v>
          </cell>
          <cell r="M46">
            <v>-351035.9</v>
          </cell>
          <cell r="R46">
            <v>-149.97</v>
          </cell>
          <cell r="W46">
            <v>0</v>
          </cell>
          <cell r="AM46">
            <v>96.89</v>
          </cell>
          <cell r="AQ46">
            <v>0.03</v>
          </cell>
          <cell r="AU46">
            <v>-239705.33</v>
          </cell>
          <cell r="AY46">
            <v>-324704.33</v>
          </cell>
          <cell r="BC46">
            <v>-0.01</v>
          </cell>
        </row>
        <row r="47">
          <cell r="H47">
            <v>-67140.59</v>
          </cell>
          <cell r="M47">
            <v>-62577.88</v>
          </cell>
          <cell r="R47">
            <v>119.69</v>
          </cell>
          <cell r="W47">
            <v>0</v>
          </cell>
          <cell r="AM47">
            <v>-267412.68</v>
          </cell>
          <cell r="AQ47">
            <v>-149.97</v>
          </cell>
          <cell r="AU47">
            <v>-3405.35</v>
          </cell>
          <cell r="AY47">
            <v>-3405.35</v>
          </cell>
          <cell r="BC47">
            <v>-0.1</v>
          </cell>
        </row>
        <row r="48">
          <cell r="H48">
            <v>-265584.32</v>
          </cell>
          <cell r="M48">
            <v>-265906.2</v>
          </cell>
          <cell r="R48">
            <v>118.75</v>
          </cell>
          <cell r="W48">
            <v>0</v>
          </cell>
          <cell r="AM48">
            <v>-3405.35</v>
          </cell>
          <cell r="AQ48">
            <v>-0.01</v>
          </cell>
          <cell r="AU48">
            <v>-9048.9699999999993</v>
          </cell>
          <cell r="AY48">
            <v>-9048.9699999999993</v>
          </cell>
          <cell r="BC48">
            <v>-0.01</v>
          </cell>
        </row>
        <row r="49">
          <cell r="H49">
            <v>-862.71</v>
          </cell>
          <cell r="M49">
            <v>-862.71</v>
          </cell>
          <cell r="R49">
            <v>-1589.81</v>
          </cell>
          <cell r="W49">
            <v>-1589.81</v>
          </cell>
          <cell r="AA49">
            <v>-40979.919999999998</v>
          </cell>
          <cell r="AE49">
            <v>-1589.81</v>
          </cell>
          <cell r="AM49">
            <v>-9048.9699999999993</v>
          </cell>
          <cell r="AQ49">
            <v>-69.11</v>
          </cell>
          <cell r="AU49">
            <v>-19032.98</v>
          </cell>
          <cell r="AY49">
            <v>-19032.98</v>
          </cell>
          <cell r="BC49">
            <v>28.04</v>
          </cell>
        </row>
        <row r="50">
          <cell r="H50"/>
          <cell r="M50">
            <v>-0.04</v>
          </cell>
          <cell r="R50">
            <v>-448.6</v>
          </cell>
          <cell r="W50">
            <v>-448.6</v>
          </cell>
          <cell r="AA50">
            <v>-95247.91</v>
          </cell>
          <cell r="AE50">
            <v>-448.6</v>
          </cell>
          <cell r="AM50">
            <v>-19032.98</v>
          </cell>
          <cell r="AQ50">
            <v>96.89</v>
          </cell>
          <cell r="AU50">
            <v>-92739.74</v>
          </cell>
          <cell r="AY50">
            <v>-92739.74</v>
          </cell>
          <cell r="BC50">
            <v>-69.11</v>
          </cell>
        </row>
        <row r="51">
          <cell r="H51">
            <v>-0.04</v>
          </cell>
          <cell r="M51">
            <v>0.03</v>
          </cell>
          <cell r="R51">
            <v>-322856.40999999997</v>
          </cell>
          <cell r="W51">
            <v>-332000</v>
          </cell>
          <cell r="AA51">
            <v>-255935.87</v>
          </cell>
          <cell r="AE51">
            <v>-332000</v>
          </cell>
          <cell r="AM51">
            <v>-0.09</v>
          </cell>
          <cell r="AQ51">
            <v>-352411.68</v>
          </cell>
          <cell r="AU51">
            <v>-46443.43</v>
          </cell>
          <cell r="BC51">
            <v>96.89</v>
          </cell>
        </row>
        <row r="52">
          <cell r="H52">
            <v>0.03</v>
          </cell>
          <cell r="M52">
            <v>119.69</v>
          </cell>
          <cell r="R52">
            <v>-12881.93</v>
          </cell>
          <cell r="W52">
            <v>-12881.93</v>
          </cell>
          <cell r="AA52">
            <v>-2693.91</v>
          </cell>
          <cell r="AE52">
            <v>-12881.93</v>
          </cell>
          <cell r="AM52">
            <v>-92739.74</v>
          </cell>
          <cell r="AQ52">
            <v>-3405.35</v>
          </cell>
          <cell r="AU52">
            <v>-695272.71</v>
          </cell>
          <cell r="AY52">
            <v>-712159.28</v>
          </cell>
          <cell r="BC52">
            <v>-198338.43</v>
          </cell>
        </row>
        <row r="53">
          <cell r="H53">
            <v>119.69</v>
          </cell>
          <cell r="M53">
            <v>118.75</v>
          </cell>
          <cell r="R53">
            <v>-10251.16</v>
          </cell>
          <cell r="W53">
            <v>-10251.16</v>
          </cell>
          <cell r="AA53">
            <v>149.93</v>
          </cell>
          <cell r="AE53">
            <v>-10251.16</v>
          </cell>
          <cell r="AI53">
            <v>-18393.240000000002</v>
          </cell>
          <cell r="AM53">
            <v>-25029.93</v>
          </cell>
          <cell r="AQ53">
            <v>-9048.9699999999993</v>
          </cell>
          <cell r="AU53">
            <v>498271.12</v>
          </cell>
          <cell r="AY53">
            <v>515157.69</v>
          </cell>
          <cell r="BC53">
            <v>-3405.35</v>
          </cell>
        </row>
        <row r="54">
          <cell r="H54">
            <v>118.75</v>
          </cell>
          <cell r="M54">
            <v>-1589.81</v>
          </cell>
          <cell r="R54">
            <v>-13654.19</v>
          </cell>
          <cell r="W54">
            <v>-13654.19</v>
          </cell>
          <cell r="AA54">
            <v>0.03</v>
          </cell>
          <cell r="AE54">
            <v>-13654.19</v>
          </cell>
          <cell r="AM54">
            <v>-647725.53</v>
          </cell>
          <cell r="AQ54">
            <v>-19032.98</v>
          </cell>
          <cell r="AU54">
            <v>52029.01</v>
          </cell>
          <cell r="BC54">
            <v>-9048.9699999999993</v>
          </cell>
        </row>
        <row r="55">
          <cell r="H55">
            <v>-1589.81</v>
          </cell>
          <cell r="M55">
            <v>-448.6</v>
          </cell>
          <cell r="R55">
            <v>-127543.16</v>
          </cell>
          <cell r="W55">
            <v>-1558000</v>
          </cell>
          <cell r="AA55">
            <v>-149.97</v>
          </cell>
          <cell r="AE55">
            <v>-1450000</v>
          </cell>
          <cell r="AM55">
            <v>450723.94</v>
          </cell>
          <cell r="AQ55">
            <v>-0.09</v>
          </cell>
          <cell r="AU55">
            <v>-5459493.8099999996</v>
          </cell>
          <cell r="AY55">
            <v>-389276.82</v>
          </cell>
          <cell r="BC55">
            <v>-19032.98</v>
          </cell>
        </row>
        <row r="56">
          <cell r="H56">
            <v>-448.6</v>
          </cell>
          <cell r="M56">
            <v>-242112.97</v>
          </cell>
          <cell r="R56">
            <v>-92739.74</v>
          </cell>
          <cell r="W56">
            <v>-92739.74</v>
          </cell>
          <cell r="AA56">
            <v>119.69</v>
          </cell>
          <cell r="AE56">
            <v>-92739.74</v>
          </cell>
          <cell r="AM56">
            <v>52029.01</v>
          </cell>
          <cell r="AQ56">
            <v>-92739.74</v>
          </cell>
          <cell r="AU56">
            <v>-389276.82</v>
          </cell>
          <cell r="AY56">
            <v>-5459493.8099999996</v>
          </cell>
          <cell r="BC56">
            <v>-92739.74</v>
          </cell>
        </row>
        <row r="57">
          <cell r="H57">
            <v>-354331.55</v>
          </cell>
          <cell r="M57">
            <v>-12881.93</v>
          </cell>
          <cell r="R57">
            <v>26240.400000000001</v>
          </cell>
          <cell r="W57">
            <v>26240.400000000001</v>
          </cell>
          <cell r="AA57">
            <v>118.75</v>
          </cell>
          <cell r="AE57">
            <v>26240.400000000001</v>
          </cell>
          <cell r="AM57">
            <v>-5459493.8099999996</v>
          </cell>
          <cell r="AQ57">
            <v>-37357.660000000003</v>
          </cell>
          <cell r="AU57">
            <v>-34322.870000000003</v>
          </cell>
          <cell r="AY57">
            <v>-34322.870000000003</v>
          </cell>
          <cell r="BC57">
            <v>-54248.7</v>
          </cell>
        </row>
        <row r="58">
          <cell r="H58">
            <v>-12881.93</v>
          </cell>
          <cell r="M58">
            <v>-10251.16</v>
          </cell>
          <cell r="R58">
            <v>-604451.18999999994</v>
          </cell>
          <cell r="W58">
            <v>-604451.18999999994</v>
          </cell>
          <cell r="AA58">
            <v>-1589.81</v>
          </cell>
          <cell r="AE58">
            <v>-604451.18999999994</v>
          </cell>
          <cell r="AM58">
            <v>-109209.95000000001</v>
          </cell>
          <cell r="AQ58">
            <v>-676406.93</v>
          </cell>
          <cell r="AU58">
            <v>343061.14</v>
          </cell>
          <cell r="AY58">
            <v>343061.14</v>
          </cell>
          <cell r="BC58">
            <v>-714052.22</v>
          </cell>
        </row>
        <row r="59">
          <cell r="H59">
            <v>-10251.16</v>
          </cell>
          <cell r="M59">
            <v>-13654.19</v>
          </cell>
          <cell r="R59">
            <v>253206.16</v>
          </cell>
          <cell r="W59">
            <v>253206.16</v>
          </cell>
          <cell r="AA59">
            <v>-448.6</v>
          </cell>
          <cell r="AE59">
            <v>253206.16</v>
          </cell>
          <cell r="AM59">
            <v>-600719.47</v>
          </cell>
          <cell r="AQ59">
            <v>479405.34</v>
          </cell>
          <cell r="AU59">
            <v>-600719.47</v>
          </cell>
          <cell r="AY59">
            <v>-600719.47</v>
          </cell>
          <cell r="BC59">
            <v>517050.62</v>
          </cell>
        </row>
        <row r="60">
          <cell r="H60">
            <v>-13654.19</v>
          </cell>
          <cell r="M60">
            <v>-181286.36</v>
          </cell>
          <cell r="AA60">
            <v>-239513.01</v>
          </cell>
          <cell r="AM60">
            <v>-495285.99</v>
          </cell>
          <cell r="AQ60">
            <v>52029.01</v>
          </cell>
          <cell r="AU60">
            <v>-1517288.1</v>
          </cell>
          <cell r="AY60">
            <v>-1104.97</v>
          </cell>
          <cell r="BC60">
            <v>52029.01</v>
          </cell>
        </row>
        <row r="61">
          <cell r="H61">
            <v>-216907.89</v>
          </cell>
          <cell r="M61">
            <v>-92739.74</v>
          </cell>
          <cell r="R61">
            <v>80403.360000000001</v>
          </cell>
          <cell r="W61">
            <v>80403.360000000001</v>
          </cell>
          <cell r="AA61">
            <v>-12881.93</v>
          </cell>
          <cell r="AE61">
            <v>80403.360000000001</v>
          </cell>
          <cell r="AM61">
            <v>-9055.9</v>
          </cell>
          <cell r="AQ61">
            <v>-5459493.8099999996</v>
          </cell>
          <cell r="AU61">
            <v>-32710.95</v>
          </cell>
          <cell r="AY61">
            <v>-926.76</v>
          </cell>
          <cell r="BC61">
            <v>-5953740.04</v>
          </cell>
        </row>
        <row r="62">
          <cell r="H62">
            <v>-92739.74</v>
          </cell>
          <cell r="M62">
            <v>38880.71</v>
          </cell>
          <cell r="R62">
            <v>-568954.88</v>
          </cell>
          <cell r="W62">
            <v>-568954.88</v>
          </cell>
          <cell r="AA62">
            <v>-10251.16</v>
          </cell>
          <cell r="AE62">
            <v>-568954.88</v>
          </cell>
          <cell r="AM62">
            <v>-11366.5</v>
          </cell>
          <cell r="AQ62">
            <v>-80538.549999999988</v>
          </cell>
          <cell r="AU62">
            <v>-35078.67</v>
          </cell>
          <cell r="AY62">
            <v>-10175.82</v>
          </cell>
          <cell r="BC62">
            <v>-389276.82</v>
          </cell>
        </row>
        <row r="63">
          <cell r="H63">
            <v>35398.79</v>
          </cell>
          <cell r="M63">
            <v>-507025.45</v>
          </cell>
          <cell r="R63">
            <v>-228739.29</v>
          </cell>
          <cell r="W63">
            <v>-228739.29</v>
          </cell>
          <cell r="AA63">
            <v>-13654.19</v>
          </cell>
          <cell r="AE63">
            <v>-228739.29</v>
          </cell>
          <cell r="AM63">
            <v>-24289.63</v>
          </cell>
          <cell r="AQ63">
            <v>-600719.47</v>
          </cell>
          <cell r="AU63">
            <v>-77823.16</v>
          </cell>
          <cell r="AY63">
            <v>-42546.29</v>
          </cell>
          <cell r="BC63">
            <v>-34322.870000000003</v>
          </cell>
        </row>
        <row r="64">
          <cell r="H64">
            <v>-444552.33</v>
          </cell>
          <cell r="M64">
            <v>170970.75</v>
          </cell>
          <cell r="R64">
            <v>-5108037.7799999993</v>
          </cell>
          <cell r="W64">
            <v>-5108037.78</v>
          </cell>
          <cell r="AA64">
            <v>-73247.63</v>
          </cell>
          <cell r="AE64">
            <v>-5108037.78</v>
          </cell>
          <cell r="AM64">
            <v>-14415.69</v>
          </cell>
          <cell r="AQ64">
            <v>-166462.46</v>
          </cell>
          <cell r="AU64">
            <v>-104846.86</v>
          </cell>
          <cell r="AY64">
            <v>-5850</v>
          </cell>
          <cell r="BC64">
            <v>502450.16</v>
          </cell>
        </row>
        <row r="65">
          <cell r="H65">
            <v>103539.51</v>
          </cell>
          <cell r="R65">
            <v>-420.58</v>
          </cell>
          <cell r="W65">
            <v>0</v>
          </cell>
          <cell r="AA65">
            <v>-92739.74</v>
          </cell>
          <cell r="AE65">
            <v>0</v>
          </cell>
          <cell r="AM65">
            <v>-0.14000000000000001</v>
          </cell>
          <cell r="AQ65">
            <v>-987965.91</v>
          </cell>
          <cell r="AU65">
            <v>-1970</v>
          </cell>
          <cell r="AY65">
            <v>-77273.789999999994</v>
          </cell>
          <cell r="BC65">
            <v>-600719.47</v>
          </cell>
        </row>
        <row r="66">
          <cell r="M66">
            <v>80403.360000000001</v>
          </cell>
          <cell r="R66">
            <v>-44571.88</v>
          </cell>
          <cell r="W66">
            <v>0</v>
          </cell>
          <cell r="AA66">
            <v>5796.04</v>
          </cell>
          <cell r="AE66">
            <v>0</v>
          </cell>
          <cell r="AM66">
            <v>-2117.4899999999998</v>
          </cell>
          <cell r="AQ66">
            <v>-20164.55</v>
          </cell>
          <cell r="AU66">
            <v>-0.14000000000000001</v>
          </cell>
          <cell r="AY66">
            <v>-131750.04</v>
          </cell>
          <cell r="BC66">
            <v>-132.63999999999999</v>
          </cell>
        </row>
        <row r="67">
          <cell r="H67">
            <v>80403.360000000001</v>
          </cell>
          <cell r="M67">
            <v>-568954.88</v>
          </cell>
          <cell r="W67">
            <v>-1166063</v>
          </cell>
          <cell r="AA67">
            <v>-604451.18999999994</v>
          </cell>
          <cell r="AE67">
            <v>-2361507</v>
          </cell>
          <cell r="AM67">
            <v>-540.9</v>
          </cell>
          <cell r="AQ67">
            <v>-22723.17</v>
          </cell>
          <cell r="AU67">
            <v>-5296.03</v>
          </cell>
          <cell r="AY67">
            <v>-7952.25</v>
          </cell>
          <cell r="BC67">
            <v>-14721.08</v>
          </cell>
        </row>
        <row r="68">
          <cell r="H68">
            <v>-568954.88</v>
          </cell>
          <cell r="M68">
            <v>-228739.19</v>
          </cell>
          <cell r="R68">
            <v>-1014928.85</v>
          </cell>
          <cell r="W68">
            <v>-198235</v>
          </cell>
          <cell r="AA68">
            <v>365166.94</v>
          </cell>
          <cell r="AE68">
            <v>-361752</v>
          </cell>
          <cell r="AM68">
            <v>-58.53</v>
          </cell>
          <cell r="AQ68">
            <v>-47193.83</v>
          </cell>
          <cell r="AU68">
            <v>-1276.01</v>
          </cell>
          <cell r="AY68">
            <v>-2082295.05</v>
          </cell>
          <cell r="BC68">
            <v>-24568.65</v>
          </cell>
        </row>
        <row r="69">
          <cell r="H69">
            <v>-415628.44</v>
          </cell>
          <cell r="M69">
            <v>-5108037.7799999993</v>
          </cell>
          <cell r="R69">
            <v>-17739.28</v>
          </cell>
          <cell r="W69">
            <v>1044410</v>
          </cell>
          <cell r="AA69">
            <v>3017.44</v>
          </cell>
          <cell r="AE69">
            <v>2056755</v>
          </cell>
          <cell r="AM69">
            <v>-3200</v>
          </cell>
          <cell r="AQ69">
            <v>-77988.39</v>
          </cell>
          <cell r="AU69">
            <v>-249.91</v>
          </cell>
          <cell r="AY69">
            <v>-46743.95</v>
          </cell>
          <cell r="BC69">
            <v>-37950.699999999997</v>
          </cell>
        </row>
        <row r="70">
          <cell r="H70">
            <v>-4882181.72</v>
          </cell>
          <cell r="M70">
            <v>-44571.88</v>
          </cell>
          <cell r="R70">
            <v>-25611.17</v>
          </cell>
          <cell r="W70">
            <v>233184</v>
          </cell>
          <cell r="AA70">
            <v>82561.570000000007</v>
          </cell>
          <cell r="AE70">
            <v>476065</v>
          </cell>
          <cell r="AM70">
            <v>-5.03</v>
          </cell>
          <cell r="AQ70">
            <v>-0.14000000000000001</v>
          </cell>
          <cell r="AU70">
            <v>-21847.41</v>
          </cell>
          <cell r="AY70">
            <v>-48385.21</v>
          </cell>
          <cell r="BC70">
            <v>-593578.88</v>
          </cell>
        </row>
        <row r="71">
          <cell r="H71">
            <v>-44571.88</v>
          </cell>
          <cell r="M71">
            <v>-420.58</v>
          </cell>
          <cell r="R71">
            <v>-50152.88</v>
          </cell>
          <cell r="AM71">
            <v>-1104.97</v>
          </cell>
          <cell r="AQ71">
            <v>-4175.25</v>
          </cell>
          <cell r="AU71">
            <v>-6600</v>
          </cell>
          <cell r="AY71">
            <v>-110902.2</v>
          </cell>
          <cell r="BC71">
            <v>-12664.07</v>
          </cell>
        </row>
        <row r="72">
          <cell r="H72">
            <v>-420.58</v>
          </cell>
          <cell r="R72">
            <v>-3576.59</v>
          </cell>
          <cell r="AM72">
            <v>-17128.79</v>
          </cell>
          <cell r="AQ72">
            <v>-855.71</v>
          </cell>
          <cell r="AU72">
            <v>-40558.400000000001</v>
          </cell>
          <cell r="AY72">
            <v>-116172.06</v>
          </cell>
          <cell r="BC72">
            <v>-13671</v>
          </cell>
        </row>
        <row r="73">
          <cell r="H73">
            <v>-1958051.1</v>
          </cell>
          <cell r="M73">
            <v>-525409.43999999994</v>
          </cell>
          <cell r="R73">
            <v>-7419.75</v>
          </cell>
          <cell r="AM73">
            <v>-8005</v>
          </cell>
          <cell r="AQ73">
            <v>-179.62</v>
          </cell>
          <cell r="AU73">
            <v>-1104.97</v>
          </cell>
          <cell r="AY73">
            <v>-4970</v>
          </cell>
          <cell r="BC73">
            <v>-25825.49</v>
          </cell>
        </row>
        <row r="74">
          <cell r="H74">
            <v>-27043.31</v>
          </cell>
          <cell r="M74">
            <v>-8804.14</v>
          </cell>
          <cell r="R74">
            <v>-5125.91</v>
          </cell>
          <cell r="AM74">
            <v>-28420.74</v>
          </cell>
          <cell r="AQ74">
            <v>-4700</v>
          </cell>
          <cell r="AU74">
            <v>-10085.82</v>
          </cell>
          <cell r="AY74">
            <v>-0.14000000000000001</v>
          </cell>
          <cell r="BC74">
            <v>-3788.23</v>
          </cell>
        </row>
        <row r="75">
          <cell r="H75">
            <v>-52479.61</v>
          </cell>
          <cell r="M75">
            <v>-13070.25</v>
          </cell>
          <cell r="R75">
            <v>-152.1</v>
          </cell>
          <cell r="AA75">
            <v>-568954.88</v>
          </cell>
          <cell r="AM75">
            <v>-35140.25</v>
          </cell>
          <cell r="AQ75">
            <v>-22341.119999999999</v>
          </cell>
          <cell r="AU75">
            <v>-38991.29</v>
          </cell>
          <cell r="AY75">
            <v>-6557.7</v>
          </cell>
          <cell r="BC75">
            <v>-3537.06</v>
          </cell>
        </row>
        <row r="76">
          <cell r="H76">
            <v>-200</v>
          </cell>
          <cell r="M76">
            <v>-26045.26</v>
          </cell>
          <cell r="R76">
            <v>-61.07</v>
          </cell>
          <cell r="AA76">
            <v>-5108037.7799999993</v>
          </cell>
          <cell r="AM76">
            <v>34112.410000000003</v>
          </cell>
          <cell r="AQ76">
            <v>69534.84</v>
          </cell>
          <cell r="AU76">
            <v>-8005</v>
          </cell>
          <cell r="AY76">
            <v>-3796.99</v>
          </cell>
          <cell r="BC76">
            <v>-8.52</v>
          </cell>
        </row>
        <row r="77">
          <cell r="H77">
            <v>-118161.31</v>
          </cell>
          <cell r="M77">
            <v>-1559.35</v>
          </cell>
          <cell r="R77">
            <v>-18427.14</v>
          </cell>
          <cell r="AA77">
            <v>-420.58</v>
          </cell>
          <cell r="AM77">
            <v>66622.25</v>
          </cell>
          <cell r="AQ77">
            <v>10579.39</v>
          </cell>
          <cell r="AU77">
            <v>-57112.34</v>
          </cell>
          <cell r="AY77">
            <v>-1669.41</v>
          </cell>
          <cell r="BC77">
            <v>-940.52</v>
          </cell>
        </row>
        <row r="78">
          <cell r="H78">
            <v>-21232</v>
          </cell>
          <cell r="M78">
            <v>-3651.25</v>
          </cell>
          <cell r="R78">
            <v>-3100</v>
          </cell>
          <cell r="AA78">
            <v>-239425.96</v>
          </cell>
          <cell r="AM78">
            <v>317.92</v>
          </cell>
          <cell r="AQ78">
            <v>144158.82</v>
          </cell>
          <cell r="AU78">
            <v>-110370.6</v>
          </cell>
          <cell r="AY78">
            <v>-395.16</v>
          </cell>
          <cell r="BC78">
            <v>-425.2</v>
          </cell>
        </row>
        <row r="79">
          <cell r="H79">
            <v>-6544.87</v>
          </cell>
          <cell r="M79">
            <v>-1972.33</v>
          </cell>
          <cell r="R79">
            <v>-2296.62</v>
          </cell>
          <cell r="AM79">
            <v>6642.58</v>
          </cell>
          <cell r="AQ79">
            <v>317.92</v>
          </cell>
          <cell r="AU79">
            <v>-5750</v>
          </cell>
          <cell r="AY79">
            <v>-21847.41</v>
          </cell>
          <cell r="BC79">
            <v>-177.6</v>
          </cell>
        </row>
        <row r="80">
          <cell r="H80">
            <v>-11.27</v>
          </cell>
          <cell r="M80">
            <v>-24.87</v>
          </cell>
          <cell r="R80">
            <v>-6486.66</v>
          </cell>
          <cell r="AM80">
            <v>880.64</v>
          </cell>
          <cell r="AQ80">
            <v>15529.77</v>
          </cell>
          <cell r="AU80">
            <v>-100</v>
          </cell>
          <cell r="AY80">
            <v>-9400</v>
          </cell>
          <cell r="BC80">
            <v>-1200</v>
          </cell>
        </row>
        <row r="81">
          <cell r="H81">
            <v>-17023.740000000002</v>
          </cell>
          <cell r="M81">
            <v>-2600</v>
          </cell>
          <cell r="R81">
            <v>-20785.310000000001</v>
          </cell>
          <cell r="AA81">
            <v>-1483421.54</v>
          </cell>
          <cell r="AM81">
            <v>5219.88</v>
          </cell>
          <cell r="AQ81">
            <v>901.18</v>
          </cell>
          <cell r="AU81">
            <v>105690.65</v>
          </cell>
          <cell r="AY81">
            <v>-50230.35</v>
          </cell>
          <cell r="BC81">
            <v>-14059.34</v>
          </cell>
        </row>
        <row r="82">
          <cell r="H82">
            <v>-11473.66</v>
          </cell>
          <cell r="M82">
            <v>-2039.58</v>
          </cell>
          <cell r="R82">
            <v>-14.8</v>
          </cell>
          <cell r="AA82">
            <v>-26341.279999999999</v>
          </cell>
          <cell r="AM82">
            <v>14538.9</v>
          </cell>
          <cell r="AQ82">
            <v>8165.82</v>
          </cell>
          <cell r="AU82">
            <v>10579.39</v>
          </cell>
          <cell r="AY82">
            <v>141626.53</v>
          </cell>
          <cell r="BC82">
            <v>31691.73</v>
          </cell>
        </row>
        <row r="83">
          <cell r="H83">
            <v>-2429.7800000000002</v>
          </cell>
          <cell r="M83">
            <v>-11300</v>
          </cell>
          <cell r="R83">
            <v>-38712</v>
          </cell>
          <cell r="AA83">
            <v>-37481.22</v>
          </cell>
          <cell r="AM83">
            <v>435.07</v>
          </cell>
          <cell r="AQ83">
            <v>27695.87</v>
          </cell>
          <cell r="AU83">
            <v>217345.8</v>
          </cell>
          <cell r="AY83">
            <v>10579.39</v>
          </cell>
          <cell r="BC83">
            <v>72001.64</v>
          </cell>
        </row>
        <row r="84">
          <cell r="H84">
            <v>-145.36000000000001</v>
          </cell>
          <cell r="M84">
            <v>-7.39</v>
          </cell>
          <cell r="R84">
            <v>-79999.990000000005</v>
          </cell>
          <cell r="AA84">
            <v>-83675.789999999994</v>
          </cell>
          <cell r="AM84">
            <v>39.36</v>
          </cell>
          <cell r="AQ84">
            <v>1221.54</v>
          </cell>
          <cell r="AU84">
            <v>317.92</v>
          </cell>
          <cell r="AY84">
            <v>296002.7</v>
          </cell>
          <cell r="BC84">
            <v>7072.42</v>
          </cell>
        </row>
        <row r="85">
          <cell r="H85">
            <v>-2450</v>
          </cell>
          <cell r="M85">
            <v>-19356</v>
          </cell>
          <cell r="R85">
            <v>-10300</v>
          </cell>
          <cell r="AA85">
            <v>-4948.55</v>
          </cell>
          <cell r="AM85">
            <v>996.91</v>
          </cell>
          <cell r="AQ85">
            <v>0.16</v>
          </cell>
          <cell r="AU85">
            <v>23360.62</v>
          </cell>
          <cell r="AY85">
            <v>317.92</v>
          </cell>
          <cell r="BC85">
            <v>265.10000000000002</v>
          </cell>
        </row>
        <row r="86">
          <cell r="H86">
            <v>-7512.11</v>
          </cell>
          <cell r="M86">
            <v>-40000</v>
          </cell>
          <cell r="R86">
            <v>-452.6</v>
          </cell>
          <cell r="AA86">
            <v>-7469.75</v>
          </cell>
          <cell r="AM86">
            <v>1207.44</v>
          </cell>
          <cell r="AQ86">
            <v>1804.46</v>
          </cell>
          <cell r="AU86">
            <v>901.18</v>
          </cell>
          <cell r="AY86">
            <v>31535.38</v>
          </cell>
          <cell r="BC86">
            <v>5005.32</v>
          </cell>
        </row>
        <row r="87">
          <cell r="H87">
            <v>-25</v>
          </cell>
          <cell r="M87">
            <v>-7150</v>
          </cell>
          <cell r="R87">
            <v>74392.55</v>
          </cell>
          <cell r="AA87">
            <v>-7900.95</v>
          </cell>
          <cell r="AM87">
            <v>1644.83</v>
          </cell>
          <cell r="AQ87">
            <v>2971.46</v>
          </cell>
          <cell r="AU87">
            <v>8197.08</v>
          </cell>
          <cell r="AY87">
            <v>901.18</v>
          </cell>
          <cell r="BC87">
            <v>14486.66</v>
          </cell>
        </row>
        <row r="88">
          <cell r="H88">
            <v>-300</v>
          </cell>
          <cell r="M88">
            <v>-452.6</v>
          </cell>
          <cell r="R88">
            <v>8198.31</v>
          </cell>
          <cell r="AA88">
            <v>-822</v>
          </cell>
          <cell r="AM88">
            <v>1305.32</v>
          </cell>
          <cell r="AQ88">
            <v>731.83</v>
          </cell>
          <cell r="AU88">
            <v>-581.41999999999996</v>
          </cell>
          <cell r="AY88">
            <v>8244.4500000000007</v>
          </cell>
          <cell r="BC88">
            <v>709.57</v>
          </cell>
        </row>
        <row r="89">
          <cell r="H89">
            <v>-1000</v>
          </cell>
          <cell r="M89">
            <v>39122.79</v>
          </cell>
          <cell r="R89">
            <v>124097.38</v>
          </cell>
          <cell r="AA89">
            <v>-68.59</v>
          </cell>
          <cell r="AM89">
            <v>3617.42</v>
          </cell>
          <cell r="AQ89">
            <v>2567.06</v>
          </cell>
          <cell r="AU89">
            <v>40522.82</v>
          </cell>
          <cell r="AY89">
            <v>-581.41999999999996</v>
          </cell>
          <cell r="BC89">
            <v>39.36</v>
          </cell>
        </row>
        <row r="90">
          <cell r="H90">
            <v>-2864.92</v>
          </cell>
          <cell r="M90">
            <v>8198.31</v>
          </cell>
          <cell r="R90">
            <v>14598.72</v>
          </cell>
          <cell r="AA90">
            <v>-18427.14</v>
          </cell>
          <cell r="AM90">
            <v>862.66</v>
          </cell>
          <cell r="AQ90">
            <v>3650.42</v>
          </cell>
          <cell r="AU90">
            <v>1521.91</v>
          </cell>
          <cell r="AY90">
            <v>52646.35</v>
          </cell>
          <cell r="BC90">
            <v>921.8</v>
          </cell>
        </row>
        <row r="91">
          <cell r="H91">
            <v>-6500</v>
          </cell>
          <cell r="M91">
            <v>65436.69</v>
          </cell>
          <cell r="R91">
            <v>321.10000000000002</v>
          </cell>
          <cell r="AA91">
            <v>-4700</v>
          </cell>
          <cell r="AM91">
            <v>158.36000000000001</v>
          </cell>
          <cell r="AQ91">
            <v>1531.37</v>
          </cell>
          <cell r="AU91">
            <v>39.520000000000003</v>
          </cell>
          <cell r="AY91">
            <v>2334.96</v>
          </cell>
          <cell r="BC91">
            <v>1241.76</v>
          </cell>
        </row>
        <row r="92">
          <cell r="H92">
            <v>-41505.629999999997</v>
          </cell>
          <cell r="M92">
            <v>7790.09</v>
          </cell>
          <cell r="R92">
            <v>7578.04</v>
          </cell>
          <cell r="AA92">
            <v>-2838.58</v>
          </cell>
          <cell r="AM92">
            <v>1371.99</v>
          </cell>
          <cell r="AQ92">
            <v>196.88</v>
          </cell>
          <cell r="AU92">
            <v>2569.38</v>
          </cell>
          <cell r="AY92">
            <v>0.32</v>
          </cell>
          <cell r="BC92">
            <v>1636.26</v>
          </cell>
        </row>
        <row r="93">
          <cell r="H93">
            <v>-18225</v>
          </cell>
          <cell r="M93">
            <v>310.43</v>
          </cell>
          <cell r="R93">
            <v>537.01</v>
          </cell>
          <cell r="AA93">
            <v>-6559.43</v>
          </cell>
          <cell r="AM93">
            <v>32.049999999999997</v>
          </cell>
          <cell r="AQ93">
            <v>2.11</v>
          </cell>
          <cell r="AU93">
            <v>4221.95</v>
          </cell>
          <cell r="AY93">
            <v>3376.31</v>
          </cell>
          <cell r="BC93">
            <v>3202.69</v>
          </cell>
        </row>
        <row r="94">
          <cell r="H94">
            <v>-1575</v>
          </cell>
          <cell r="M94">
            <v>5928.62</v>
          </cell>
          <cell r="R94">
            <v>27341.23</v>
          </cell>
          <cell r="AA94">
            <v>-21585.31</v>
          </cell>
          <cell r="AM94">
            <v>2019.07</v>
          </cell>
          <cell r="AQ94">
            <v>3046.67</v>
          </cell>
          <cell r="AU94">
            <v>583.42999999999995</v>
          </cell>
          <cell r="AY94">
            <v>5430.39</v>
          </cell>
          <cell r="BC94">
            <v>311.05</v>
          </cell>
        </row>
        <row r="95">
          <cell r="H95">
            <v>-4646.3500000000004</v>
          </cell>
          <cell r="M95">
            <v>14580.54</v>
          </cell>
          <cell r="R95">
            <v>1639.39</v>
          </cell>
          <cell r="AA95">
            <v>-20.13</v>
          </cell>
          <cell r="AM95">
            <v>515.12</v>
          </cell>
          <cell r="AQ95">
            <v>32.049999999999997</v>
          </cell>
          <cell r="AU95">
            <v>3713.06</v>
          </cell>
          <cell r="AY95">
            <v>573.76</v>
          </cell>
          <cell r="BC95">
            <v>6.38</v>
          </cell>
        </row>
        <row r="96">
          <cell r="H96">
            <v>-700</v>
          </cell>
          <cell r="M96">
            <v>990.86</v>
          </cell>
          <cell r="R96">
            <v>75.42</v>
          </cell>
          <cell r="AA96">
            <v>-58068</v>
          </cell>
          <cell r="AM96">
            <v>318.07</v>
          </cell>
          <cell r="AQ96">
            <v>5347.84</v>
          </cell>
          <cell r="AU96">
            <v>7508.05</v>
          </cell>
          <cell r="AY96">
            <v>6149.12</v>
          </cell>
          <cell r="BC96">
            <v>2258.67</v>
          </cell>
        </row>
        <row r="97">
          <cell r="H97">
            <v>-99.73</v>
          </cell>
          <cell r="M97">
            <v>37.71</v>
          </cell>
          <cell r="R97">
            <v>1507.96</v>
          </cell>
          <cell r="AA97">
            <v>-119999.98</v>
          </cell>
          <cell r="AM97">
            <v>573.21</v>
          </cell>
          <cell r="AQ97">
            <v>1041.3599999999999</v>
          </cell>
          <cell r="AU97">
            <v>2045.8</v>
          </cell>
          <cell r="AY97">
            <v>16181.1</v>
          </cell>
          <cell r="BC97">
            <v>1823.63</v>
          </cell>
        </row>
        <row r="98">
          <cell r="H98">
            <v>-5213.1499999999996</v>
          </cell>
          <cell r="M98">
            <v>596.54</v>
          </cell>
          <cell r="R98">
            <v>4666.67</v>
          </cell>
          <cell r="AA98">
            <v>-10900</v>
          </cell>
          <cell r="AM98">
            <v>8426.11</v>
          </cell>
          <cell r="AQ98">
            <v>403.95</v>
          </cell>
          <cell r="AU98">
            <v>277.56</v>
          </cell>
          <cell r="AY98">
            <v>2853.4</v>
          </cell>
          <cell r="BC98">
            <v>2959.94</v>
          </cell>
        </row>
        <row r="99">
          <cell r="H99">
            <v>-136.28</v>
          </cell>
          <cell r="M99">
            <v>2256.73</v>
          </cell>
          <cell r="R99">
            <v>118.15</v>
          </cell>
          <cell r="AA99">
            <v>-452.6</v>
          </cell>
          <cell r="AM99">
            <v>767.75</v>
          </cell>
          <cell r="AQ99">
            <v>1281.27</v>
          </cell>
          <cell r="AU99">
            <v>5.29</v>
          </cell>
          <cell r="AY99">
            <v>485.94</v>
          </cell>
          <cell r="BC99">
            <v>551.48</v>
          </cell>
        </row>
        <row r="100">
          <cell r="H100">
            <v>-76500</v>
          </cell>
          <cell r="M100">
            <v>1397.59</v>
          </cell>
          <cell r="R100">
            <v>2522.67</v>
          </cell>
          <cell r="AA100">
            <v>99898.98</v>
          </cell>
          <cell r="AM100">
            <v>3348.31</v>
          </cell>
          <cell r="AQ100">
            <v>27381.88</v>
          </cell>
          <cell r="AU100">
            <v>11862.92</v>
          </cell>
          <cell r="AY100">
            <v>15.81</v>
          </cell>
          <cell r="BC100">
            <v>289.58999999999997</v>
          </cell>
        </row>
        <row r="101">
          <cell r="H101">
            <v>-2839.08</v>
          </cell>
          <cell r="M101">
            <v>281.27999999999997</v>
          </cell>
          <cell r="R101">
            <v>356.07</v>
          </cell>
          <cell r="AA101">
            <v>8198.31</v>
          </cell>
          <cell r="AM101">
            <v>3676.74</v>
          </cell>
          <cell r="AQ101">
            <v>2478.09</v>
          </cell>
          <cell r="AU101">
            <v>32.049999999999997</v>
          </cell>
          <cell r="AY101">
            <v>13516.49</v>
          </cell>
          <cell r="BC101">
            <v>3799.72</v>
          </cell>
        </row>
        <row r="102">
          <cell r="H102">
            <v>-8407.08</v>
          </cell>
          <cell r="M102">
            <v>642.38</v>
          </cell>
          <cell r="R102">
            <v>937.94</v>
          </cell>
          <cell r="AA102">
            <v>202861.12</v>
          </cell>
          <cell r="AM102">
            <v>4040.6</v>
          </cell>
          <cell r="AQ102">
            <v>3508.04</v>
          </cell>
          <cell r="AU102">
            <v>8421.66</v>
          </cell>
          <cell r="AY102">
            <v>32.049999999999997</v>
          </cell>
          <cell r="BC102">
            <v>43338.78</v>
          </cell>
        </row>
        <row r="103">
          <cell r="H103">
            <v>-157356.76999999999</v>
          </cell>
          <cell r="M103">
            <v>537.17999999999995</v>
          </cell>
          <cell r="R103">
            <v>617.88</v>
          </cell>
          <cell r="AA103">
            <v>22110.73</v>
          </cell>
          <cell r="AM103">
            <v>4940.22</v>
          </cell>
          <cell r="AQ103">
            <v>12226.73</v>
          </cell>
          <cell r="AU103">
            <v>1567.83</v>
          </cell>
          <cell r="AY103">
            <v>11598.05</v>
          </cell>
          <cell r="BC103">
            <v>5891.15</v>
          </cell>
        </row>
        <row r="104">
          <cell r="H104">
            <v>-13300</v>
          </cell>
          <cell r="M104">
            <v>14.08</v>
          </cell>
          <cell r="R104">
            <v>70.25</v>
          </cell>
          <cell r="AA104">
            <v>354.22</v>
          </cell>
          <cell r="AM104">
            <v>670.58</v>
          </cell>
          <cell r="AQ104">
            <v>17370.43</v>
          </cell>
          <cell r="AU104">
            <v>567.09</v>
          </cell>
          <cell r="AY104">
            <v>2107.08</v>
          </cell>
          <cell r="BC104">
            <v>16670.47</v>
          </cell>
        </row>
        <row r="105">
          <cell r="H105">
            <v>-96.8</v>
          </cell>
          <cell r="M105">
            <v>1883.09</v>
          </cell>
          <cell r="R105">
            <v>2518.4</v>
          </cell>
          <cell r="AA105">
            <v>8077.2</v>
          </cell>
          <cell r="AM105">
            <v>3007.95</v>
          </cell>
          <cell r="AQ105">
            <v>10835.67</v>
          </cell>
          <cell r="AU105">
            <v>2786.48</v>
          </cell>
          <cell r="AY105">
            <v>739.46</v>
          </cell>
          <cell r="BC105">
            <v>463.14</v>
          </cell>
        </row>
        <row r="106">
          <cell r="H106">
            <v>139955.74</v>
          </cell>
          <cell r="M106">
            <v>375.49</v>
          </cell>
          <cell r="R106">
            <v>750.98</v>
          </cell>
          <cell r="AA106">
            <v>302.89</v>
          </cell>
          <cell r="AM106">
            <v>10864.75</v>
          </cell>
          <cell r="AQ106">
            <v>325</v>
          </cell>
          <cell r="AU106">
            <v>58064.28</v>
          </cell>
          <cell r="AY106">
            <v>2919.28</v>
          </cell>
          <cell r="BC106">
            <v>2209.0700000000002</v>
          </cell>
        </row>
        <row r="107">
          <cell r="H107">
            <v>8776.4599999999991</v>
          </cell>
          <cell r="M107">
            <v>2988.42</v>
          </cell>
          <cell r="R107">
            <v>5452.23</v>
          </cell>
          <cell r="AA107">
            <v>38639.42</v>
          </cell>
          <cell r="AM107">
            <v>1189.3900000000001</v>
          </cell>
          <cell r="AQ107">
            <v>5194.08</v>
          </cell>
          <cell r="AU107">
            <v>7288.74</v>
          </cell>
          <cell r="AY107">
            <v>86793.600000000006</v>
          </cell>
          <cell r="BC107">
            <v>883.95</v>
          </cell>
        </row>
        <row r="108">
          <cell r="H108">
            <v>285069.73</v>
          </cell>
          <cell r="M108">
            <v>864.26</v>
          </cell>
          <cell r="R108">
            <v>1252.1600000000001</v>
          </cell>
          <cell r="AA108">
            <v>1895.7</v>
          </cell>
          <cell r="AM108">
            <v>10594.94</v>
          </cell>
          <cell r="AQ108">
            <v>4410.09</v>
          </cell>
          <cell r="AU108">
            <v>3508.04</v>
          </cell>
          <cell r="AY108">
            <v>13149.74</v>
          </cell>
          <cell r="BC108">
            <v>6739.58</v>
          </cell>
        </row>
        <row r="109">
          <cell r="H109">
            <v>10881.98</v>
          </cell>
          <cell r="M109">
            <v>20.47</v>
          </cell>
          <cell r="R109">
            <v>20.47</v>
          </cell>
          <cell r="AA109">
            <v>37.74</v>
          </cell>
          <cell r="AM109">
            <v>30300.22</v>
          </cell>
          <cell r="AQ109">
            <v>467.79</v>
          </cell>
          <cell r="AU109">
            <v>12226.73</v>
          </cell>
          <cell r="AY109">
            <v>3508.04</v>
          </cell>
          <cell r="BC109">
            <v>34965.589999999997</v>
          </cell>
        </row>
        <row r="110">
          <cell r="H110">
            <v>23895.38</v>
          </cell>
          <cell r="M110">
            <v>0</v>
          </cell>
          <cell r="R110">
            <v>2704.47</v>
          </cell>
          <cell r="AA110">
            <v>2772.62</v>
          </cell>
          <cell r="AM110">
            <v>2958.28</v>
          </cell>
          <cell r="AQ110">
            <v>14220.38</v>
          </cell>
          <cell r="AU110">
            <v>19709.77</v>
          </cell>
          <cell r="AY110">
            <v>12664.73</v>
          </cell>
          <cell r="BC110">
            <v>3603.46</v>
          </cell>
        </row>
        <row r="111">
          <cell r="H111">
            <v>233.33</v>
          </cell>
          <cell r="M111">
            <v>25625.07</v>
          </cell>
          <cell r="R111">
            <v>46840.4</v>
          </cell>
          <cell r="AA111">
            <v>6074.36</v>
          </cell>
          <cell r="AM111">
            <v>4546.83</v>
          </cell>
          <cell r="AQ111">
            <v>1564.89</v>
          </cell>
          <cell r="AU111">
            <v>17020.61</v>
          </cell>
          <cell r="AY111">
            <v>37685.54</v>
          </cell>
          <cell r="BC111">
            <v>2253.4699999999998</v>
          </cell>
        </row>
        <row r="112">
          <cell r="H112">
            <v>589.26</v>
          </cell>
          <cell r="M112">
            <v>4515.3999999999996</v>
          </cell>
          <cell r="R112">
            <v>5223.63</v>
          </cell>
          <cell r="AA112">
            <v>740.65</v>
          </cell>
          <cell r="AM112">
            <v>51028.800000000003</v>
          </cell>
          <cell r="AQ112">
            <v>21771.33</v>
          </cell>
          <cell r="AU112">
            <v>325</v>
          </cell>
          <cell r="AY112">
            <v>27241.26</v>
          </cell>
          <cell r="BC112">
            <v>66471</v>
          </cell>
        </row>
        <row r="113">
          <cell r="H113">
            <v>1675.26</v>
          </cell>
          <cell r="M113">
            <v>2398.98</v>
          </cell>
          <cell r="R113">
            <v>5193.54</v>
          </cell>
          <cell r="AA113">
            <v>3742.63</v>
          </cell>
          <cell r="AM113">
            <v>758.59</v>
          </cell>
          <cell r="AQ113">
            <v>57303.6</v>
          </cell>
          <cell r="AU113">
            <v>5591.4</v>
          </cell>
          <cell r="AY113">
            <v>325</v>
          </cell>
          <cell r="BC113">
            <v>577.45000000000005</v>
          </cell>
        </row>
        <row r="114">
          <cell r="H114">
            <v>29998.94</v>
          </cell>
          <cell r="M114">
            <v>13969.85</v>
          </cell>
          <cell r="R114">
            <v>25496.63</v>
          </cell>
          <cell r="AA114">
            <v>2528.6</v>
          </cell>
          <cell r="AM114">
            <v>4670.21</v>
          </cell>
          <cell r="AQ114">
            <v>6361.56</v>
          </cell>
          <cell r="AU114">
            <v>4410.09</v>
          </cell>
          <cell r="AY114">
            <v>7341.45</v>
          </cell>
          <cell r="BC114">
            <v>4355.2</v>
          </cell>
        </row>
        <row r="115">
          <cell r="H115">
            <v>1479.1</v>
          </cell>
          <cell r="M115">
            <v>7539.08</v>
          </cell>
          <cell r="R115">
            <v>17428.43</v>
          </cell>
          <cell r="AA115">
            <v>1190.07</v>
          </cell>
          <cell r="AM115">
            <v>63.35</v>
          </cell>
          <cell r="AQ115">
            <v>11402.98</v>
          </cell>
          <cell r="AU115">
            <v>1559.26</v>
          </cell>
          <cell r="AY115">
            <v>195.05</v>
          </cell>
          <cell r="BC115">
            <v>1688.3</v>
          </cell>
        </row>
        <row r="116">
          <cell r="H116">
            <v>11.48</v>
          </cell>
          <cell r="M116">
            <v>2827.95</v>
          </cell>
          <cell r="R116">
            <v>10743.42</v>
          </cell>
          <cell r="AA116">
            <v>651.51</v>
          </cell>
          <cell r="AM116">
            <v>399.6</v>
          </cell>
          <cell r="AQ116">
            <v>70229.41</v>
          </cell>
          <cell r="AU116">
            <v>18890.689999999999</v>
          </cell>
          <cell r="AY116">
            <v>4410.09</v>
          </cell>
          <cell r="BC116">
            <v>15.8</v>
          </cell>
        </row>
        <row r="117">
          <cell r="H117">
            <v>73.64</v>
          </cell>
          <cell r="M117">
            <v>1202.42</v>
          </cell>
          <cell r="R117">
            <v>4480.51</v>
          </cell>
          <cell r="AA117">
            <v>112.44</v>
          </cell>
          <cell r="AM117">
            <v>4651.32</v>
          </cell>
          <cell r="AQ117">
            <v>1373.28</v>
          </cell>
          <cell r="AU117">
            <v>2726.89</v>
          </cell>
          <cell r="AY117">
            <v>3629.6</v>
          </cell>
          <cell r="BC117">
            <v>18104.3</v>
          </cell>
        </row>
        <row r="118">
          <cell r="H118">
            <v>2982.03</v>
          </cell>
          <cell r="M118">
            <v>10893.88</v>
          </cell>
          <cell r="R118">
            <v>17712.990000000002</v>
          </cell>
          <cell r="AA118">
            <v>11239.19</v>
          </cell>
          <cell r="AM118">
            <v>2200</v>
          </cell>
          <cell r="AQ118">
            <v>4820.34</v>
          </cell>
          <cell r="AU118">
            <v>36172.99</v>
          </cell>
          <cell r="AY118">
            <v>23033.17</v>
          </cell>
          <cell r="BC118">
            <v>92511</v>
          </cell>
        </row>
        <row r="119">
          <cell r="H119">
            <v>2713.89</v>
          </cell>
          <cell r="M119">
            <v>930.43</v>
          </cell>
          <cell r="R119">
            <v>1796.95</v>
          </cell>
          <cell r="AA119">
            <v>1010.94</v>
          </cell>
          <cell r="AM119">
            <v>84999</v>
          </cell>
          <cell r="AQ119">
            <v>63.35</v>
          </cell>
          <cell r="AU119">
            <v>104463.42</v>
          </cell>
          <cell r="AY119">
            <v>3597.56</v>
          </cell>
          <cell r="BC119">
            <v>921.99</v>
          </cell>
        </row>
        <row r="120">
          <cell r="H120">
            <v>226.49</v>
          </cell>
          <cell r="M120">
            <v>3364.51</v>
          </cell>
          <cell r="R120">
            <v>20867.099999999999</v>
          </cell>
          <cell r="AA120">
            <v>7993.08</v>
          </cell>
          <cell r="AM120">
            <v>175</v>
          </cell>
          <cell r="AQ120">
            <v>15019.35</v>
          </cell>
          <cell r="AU120">
            <v>9561.2999999999993</v>
          </cell>
          <cell r="AY120">
            <v>52331.37</v>
          </cell>
          <cell r="BC120">
            <v>30000</v>
          </cell>
        </row>
        <row r="121">
          <cell r="H121">
            <v>3261.21</v>
          </cell>
          <cell r="M121">
            <v>36431.31</v>
          </cell>
          <cell r="R121">
            <v>70624.679999999993</v>
          </cell>
          <cell r="AA121">
            <v>1706.64</v>
          </cell>
          <cell r="AM121">
            <v>38703.31</v>
          </cell>
          <cell r="AQ121">
            <v>4651.32</v>
          </cell>
          <cell r="AU121">
            <v>16752.02</v>
          </cell>
          <cell r="AY121">
            <v>136965.37</v>
          </cell>
          <cell r="BC121">
            <v>82500</v>
          </cell>
        </row>
        <row r="122">
          <cell r="H122">
            <v>1232.06</v>
          </cell>
          <cell r="M122">
            <v>5817.16</v>
          </cell>
          <cell r="R122">
            <v>7287.4</v>
          </cell>
          <cell r="AA122">
            <v>60.86</v>
          </cell>
          <cell r="AM122">
            <v>82500</v>
          </cell>
          <cell r="AQ122">
            <v>2907.6</v>
          </cell>
          <cell r="AU122">
            <v>77419.88</v>
          </cell>
          <cell r="AY122">
            <v>15365.92</v>
          </cell>
          <cell r="BC122">
            <v>0.11</v>
          </cell>
        </row>
        <row r="123">
          <cell r="H123">
            <v>4289.8</v>
          </cell>
          <cell r="M123">
            <v>4027.77</v>
          </cell>
          <cell r="R123">
            <v>9188.1200000000008</v>
          </cell>
          <cell r="AA123">
            <v>5288.66</v>
          </cell>
          <cell r="AM123">
            <v>0.02</v>
          </cell>
          <cell r="AQ123">
            <v>169998</v>
          </cell>
          <cell r="AU123">
            <v>2506.3200000000002</v>
          </cell>
          <cell r="AY123">
            <v>21181.35</v>
          </cell>
          <cell r="BC123">
            <v>234</v>
          </cell>
        </row>
        <row r="124">
          <cell r="H124">
            <v>109.54</v>
          </cell>
          <cell r="M124">
            <v>35689.78</v>
          </cell>
          <cell r="R124">
            <v>51885.75</v>
          </cell>
          <cell r="AA124">
            <v>59287.93</v>
          </cell>
          <cell r="AM124">
            <v>117646.66</v>
          </cell>
          <cell r="AQ124">
            <v>212.39</v>
          </cell>
          <cell r="AU124">
            <v>5016.22</v>
          </cell>
          <cell r="AY124">
            <v>90241.05</v>
          </cell>
          <cell r="BC124">
            <v>27.84</v>
          </cell>
        </row>
        <row r="125">
          <cell r="H125">
            <v>23802.65</v>
          </cell>
          <cell r="M125">
            <v>280.22000000000003</v>
          </cell>
          <cell r="R125">
            <v>747.3</v>
          </cell>
          <cell r="AA125">
            <v>11598.52</v>
          </cell>
          <cell r="AQ125">
            <v>70218.03</v>
          </cell>
          <cell r="AU125">
            <v>63.35</v>
          </cell>
          <cell r="AY125">
            <v>2557.77</v>
          </cell>
          <cell r="BC125">
            <v>87</v>
          </cell>
        </row>
        <row r="126">
          <cell r="H126">
            <v>73.8</v>
          </cell>
          <cell r="M126">
            <v>89.34</v>
          </cell>
          <cell r="R126">
            <v>342.42</v>
          </cell>
          <cell r="AA126">
            <v>143.82</v>
          </cell>
          <cell r="AQ126">
            <v>165000</v>
          </cell>
          <cell r="AU126">
            <v>15473.6</v>
          </cell>
          <cell r="AY126">
            <v>5307.98</v>
          </cell>
          <cell r="BC126">
            <v>65137.84</v>
          </cell>
        </row>
        <row r="127">
          <cell r="H127">
            <v>5414</v>
          </cell>
          <cell r="M127">
            <v>1971.15</v>
          </cell>
          <cell r="R127">
            <v>3934.52</v>
          </cell>
          <cell r="AA127">
            <v>9534.32</v>
          </cell>
          <cell r="AQ127">
            <v>59.78</v>
          </cell>
          <cell r="AU127">
            <v>10969.28</v>
          </cell>
          <cell r="AY127">
            <v>63.35</v>
          </cell>
          <cell r="BC127">
            <v>4834.24</v>
          </cell>
        </row>
        <row r="128">
          <cell r="H128">
            <v>1556.82</v>
          </cell>
          <cell r="M128">
            <v>2695.35</v>
          </cell>
          <cell r="R128">
            <v>5008.66</v>
          </cell>
          <cell r="AA128">
            <v>42699.31</v>
          </cell>
          <cell r="AQ128">
            <v>217903.61</v>
          </cell>
          <cell r="AU128">
            <v>13069.8</v>
          </cell>
          <cell r="AY128">
            <v>16624.71</v>
          </cell>
          <cell r="BC128">
            <v>1633.93</v>
          </cell>
        </row>
        <row r="129">
          <cell r="H129">
            <v>1314.07</v>
          </cell>
          <cell r="M129">
            <v>7325.82</v>
          </cell>
          <cell r="R129">
            <v>23309.4</v>
          </cell>
          <cell r="AA129">
            <v>21506.21</v>
          </cell>
          <cell r="AU129">
            <v>254997</v>
          </cell>
          <cell r="AY129">
            <v>10969.28</v>
          </cell>
          <cell r="BC129">
            <v>6056.15</v>
          </cell>
        </row>
        <row r="130">
          <cell r="H130">
            <v>74047.83</v>
          </cell>
          <cell r="M130">
            <v>11744.48</v>
          </cell>
          <cell r="R130">
            <v>11744.48</v>
          </cell>
          <cell r="AA130">
            <v>10743.42</v>
          </cell>
          <cell r="AU130">
            <v>831.71</v>
          </cell>
          <cell r="AY130">
            <v>18636.7</v>
          </cell>
          <cell r="BC130">
            <v>975.57</v>
          </cell>
        </row>
        <row r="131">
          <cell r="H131">
            <v>13393.23</v>
          </cell>
          <cell r="M131">
            <v>5546</v>
          </cell>
          <cell r="R131">
            <v>11326.77</v>
          </cell>
          <cell r="AA131">
            <v>5995.91</v>
          </cell>
          <cell r="AU131">
            <v>87742.35</v>
          </cell>
          <cell r="AY131">
            <v>339996</v>
          </cell>
          <cell r="BC131">
            <v>598.65</v>
          </cell>
        </row>
        <row r="132">
          <cell r="H132">
            <v>23883.759999999998</v>
          </cell>
          <cell r="M132">
            <v>83721.34</v>
          </cell>
          <cell r="R132">
            <v>487.78</v>
          </cell>
          <cell r="AA132">
            <v>22242.83</v>
          </cell>
          <cell r="AU132">
            <v>247500</v>
          </cell>
          <cell r="AY132">
            <v>2179.1</v>
          </cell>
          <cell r="BC132">
            <v>357.65</v>
          </cell>
        </row>
        <row r="133">
          <cell r="H133">
            <v>21891.32</v>
          </cell>
          <cell r="M133">
            <v>6.97</v>
          </cell>
          <cell r="R133">
            <v>164464.78</v>
          </cell>
          <cell r="AA133">
            <v>2782.63</v>
          </cell>
          <cell r="AU133">
            <v>59.76</v>
          </cell>
          <cell r="AY133">
            <v>105978.86</v>
          </cell>
          <cell r="BC133">
            <v>530.33000000000004</v>
          </cell>
        </row>
        <row r="134">
          <cell r="H134">
            <v>49242.51</v>
          </cell>
          <cell r="M134">
            <v>1843.46</v>
          </cell>
          <cell r="R134">
            <v>131.38999999999999</v>
          </cell>
          <cell r="AA134">
            <v>20758.599999999999</v>
          </cell>
          <cell r="AU134">
            <v>190.5</v>
          </cell>
          <cell r="AY134">
            <v>357500</v>
          </cell>
          <cell r="BC134">
            <v>3010.88</v>
          </cell>
        </row>
        <row r="135">
          <cell r="H135">
            <v>34827.72</v>
          </cell>
          <cell r="M135">
            <v>35962.22</v>
          </cell>
          <cell r="R135">
            <v>1968.45</v>
          </cell>
          <cell r="AA135">
            <v>134611.63</v>
          </cell>
          <cell r="AU135">
            <v>1840.36</v>
          </cell>
          <cell r="AY135">
            <v>59.76</v>
          </cell>
          <cell r="BC135">
            <v>2784.1</v>
          </cell>
        </row>
        <row r="136">
          <cell r="H136">
            <v>2356.54</v>
          </cell>
          <cell r="M136">
            <v>81000</v>
          </cell>
          <cell r="R136">
            <v>64335.1</v>
          </cell>
          <cell r="AA136">
            <v>10362.06</v>
          </cell>
          <cell r="AU136">
            <v>9403.24</v>
          </cell>
          <cell r="AY136">
            <v>63.5</v>
          </cell>
          <cell r="BC136">
            <v>98.8</v>
          </cell>
        </row>
        <row r="137">
          <cell r="H137">
            <v>18352.43</v>
          </cell>
          <cell r="M137">
            <v>0.11</v>
          </cell>
          <cell r="R137">
            <v>162000</v>
          </cell>
          <cell r="AA137">
            <v>15125.33</v>
          </cell>
          <cell r="AU137">
            <v>1041.1400000000001</v>
          </cell>
          <cell r="AY137">
            <v>1840.36</v>
          </cell>
          <cell r="BC137">
            <v>1645.8</v>
          </cell>
        </row>
        <row r="138">
          <cell r="H138">
            <v>730.9</v>
          </cell>
          <cell r="M138">
            <v>1082.27</v>
          </cell>
          <cell r="R138">
            <v>0.23</v>
          </cell>
          <cell r="AA138">
            <v>57398.57</v>
          </cell>
          <cell r="AU138">
            <v>366.06</v>
          </cell>
          <cell r="AY138">
            <v>2000</v>
          </cell>
          <cell r="BC138">
            <v>3.6</v>
          </cell>
        </row>
        <row r="139">
          <cell r="H139">
            <v>5318.21</v>
          </cell>
          <cell r="M139">
            <v>736.05</v>
          </cell>
          <cell r="AA139">
            <v>1075.1099999999999</v>
          </cell>
          <cell r="AU139">
            <v>1812.98</v>
          </cell>
          <cell r="AY139">
            <v>9403.24</v>
          </cell>
          <cell r="BC139">
            <v>9985.5</v>
          </cell>
        </row>
        <row r="140">
          <cell r="H140">
            <v>559.25</v>
          </cell>
          <cell r="M140">
            <v>39.770000000000003</v>
          </cell>
          <cell r="R140">
            <v>1082.27</v>
          </cell>
          <cell r="AA140">
            <v>525.9</v>
          </cell>
          <cell r="AU140">
            <v>5000</v>
          </cell>
          <cell r="AY140">
            <v>2152.54</v>
          </cell>
          <cell r="BC140">
            <v>1032</v>
          </cell>
        </row>
        <row r="141">
          <cell r="H141">
            <v>77421.38</v>
          </cell>
          <cell r="M141">
            <v>180.23</v>
          </cell>
          <cell r="R141">
            <v>736.05</v>
          </cell>
          <cell r="AA141">
            <v>5422.07</v>
          </cell>
          <cell r="AU141">
            <v>190655.5</v>
          </cell>
          <cell r="AY141">
            <v>2603.5700000000002</v>
          </cell>
          <cell r="BC141">
            <v>1371</v>
          </cell>
        </row>
        <row r="142">
          <cell r="H142">
            <v>3891.2</v>
          </cell>
          <cell r="M142">
            <v>62079.85</v>
          </cell>
          <cell r="R142">
            <v>6387.32</v>
          </cell>
          <cell r="AA142">
            <v>6126.79</v>
          </cell>
          <cell r="AU142">
            <v>2104.8000000000002</v>
          </cell>
          <cell r="AY142">
            <v>1867.98</v>
          </cell>
          <cell r="BC142">
            <v>962.31</v>
          </cell>
        </row>
        <row r="143">
          <cell r="H143">
            <v>2400.33</v>
          </cell>
          <cell r="M143"/>
          <cell r="R143">
            <v>9.86</v>
          </cell>
          <cell r="AA143">
            <v>27375.54</v>
          </cell>
          <cell r="AU143">
            <v>14217.2</v>
          </cell>
          <cell r="AY143">
            <v>6736</v>
          </cell>
          <cell r="BC143">
            <v>2.62</v>
          </cell>
        </row>
        <row r="144">
          <cell r="H144">
            <v>126697.96</v>
          </cell>
          <cell r="M144"/>
          <cell r="R144">
            <v>39.770000000000003</v>
          </cell>
          <cell r="AA144">
            <v>11744.48</v>
          </cell>
          <cell r="AU144">
            <v>2269.42</v>
          </cell>
          <cell r="AY144">
            <v>250436.15</v>
          </cell>
          <cell r="BC144">
            <v>408.23</v>
          </cell>
        </row>
        <row r="145">
          <cell r="H145">
            <v>22626.639999999999</v>
          </cell>
          <cell r="M145">
            <v>640</v>
          </cell>
          <cell r="R145">
            <v>265.69</v>
          </cell>
          <cell r="AA145">
            <v>11332.17</v>
          </cell>
          <cell r="AU145">
            <v>11714.02</v>
          </cell>
          <cell r="AY145">
            <v>2104.8000000000002</v>
          </cell>
          <cell r="BC145">
            <v>50</v>
          </cell>
        </row>
        <row r="146">
          <cell r="H146">
            <v>19036.75</v>
          </cell>
          <cell r="M146"/>
          <cell r="R146">
            <v>127515.26</v>
          </cell>
          <cell r="AA146">
            <v>487.78</v>
          </cell>
          <cell r="AU146">
            <v>3441.07</v>
          </cell>
          <cell r="AY146">
            <v>18651.259999999998</v>
          </cell>
          <cell r="BC146">
            <v>209.6</v>
          </cell>
        </row>
        <row r="147">
          <cell r="H147">
            <v>102061.17</v>
          </cell>
          <cell r="M147">
            <v>3969.48</v>
          </cell>
          <cell r="R147">
            <v>1040</v>
          </cell>
          <cell r="AA147">
            <v>27047.06</v>
          </cell>
          <cell r="AU147">
            <v>1896.77</v>
          </cell>
          <cell r="AY147">
            <v>2321.48</v>
          </cell>
          <cell r="BC147">
            <v>33.299999999999997</v>
          </cell>
        </row>
        <row r="148">
          <cell r="H148">
            <v>1561.8</v>
          </cell>
          <cell r="M148">
            <v>3907.97</v>
          </cell>
          <cell r="R148">
            <v>8901.24</v>
          </cell>
          <cell r="AA148">
            <v>245208.22</v>
          </cell>
          <cell r="AU148">
            <v>1274.5999999999999</v>
          </cell>
          <cell r="AY148">
            <v>14507.94</v>
          </cell>
          <cell r="BC148">
            <v>212</v>
          </cell>
        </row>
        <row r="149">
          <cell r="H149">
            <v>217.95</v>
          </cell>
          <cell r="M149">
            <v>4693.12</v>
          </cell>
          <cell r="R149">
            <v>4469.54</v>
          </cell>
          <cell r="AA149">
            <v>133.03</v>
          </cell>
          <cell r="AU149">
            <v>2548.8000000000002</v>
          </cell>
          <cell r="AY149">
            <v>4468.4399999999996</v>
          </cell>
          <cell r="BC149">
            <v>608.47</v>
          </cell>
        </row>
        <row r="150">
          <cell r="H150">
            <v>4035.98</v>
          </cell>
          <cell r="M150">
            <v>1174.6300000000001</v>
          </cell>
          <cell r="R150">
            <v>8702.2199999999993</v>
          </cell>
          <cell r="AA150">
            <v>3628.45</v>
          </cell>
          <cell r="AU150">
            <v>40.14</v>
          </cell>
          <cell r="AY150">
            <v>2413.42</v>
          </cell>
          <cell r="BC150">
            <v>502.54</v>
          </cell>
        </row>
        <row r="151">
          <cell r="H151">
            <v>17182.29</v>
          </cell>
          <cell r="M151">
            <v>961.67</v>
          </cell>
          <cell r="R151">
            <v>2503.3200000000002</v>
          </cell>
          <cell r="AA151">
            <v>87147.43</v>
          </cell>
          <cell r="AU151">
            <v>2726.5</v>
          </cell>
          <cell r="AY151">
            <v>1772.35</v>
          </cell>
          <cell r="BC151">
            <v>280</v>
          </cell>
        </row>
        <row r="152">
          <cell r="H152">
            <v>10498.14</v>
          </cell>
          <cell r="M152">
            <v>494.11</v>
          </cell>
          <cell r="R152">
            <v>1714.4</v>
          </cell>
          <cell r="AA152">
            <v>243000</v>
          </cell>
          <cell r="AU152">
            <v>5286.24</v>
          </cell>
          <cell r="AY152">
            <v>3125.14</v>
          </cell>
          <cell r="BC152">
            <v>4891.63</v>
          </cell>
        </row>
        <row r="153">
          <cell r="H153">
            <v>2777.56</v>
          </cell>
          <cell r="R153">
            <v>1012.38</v>
          </cell>
          <cell r="AA153">
            <v>1.1399999999999999</v>
          </cell>
          <cell r="AU153">
            <v>227.38</v>
          </cell>
          <cell r="AY153">
            <v>40.14</v>
          </cell>
        </row>
        <row r="154">
          <cell r="H154">
            <v>20408.080000000002</v>
          </cell>
          <cell r="M154">
            <v>127.4</v>
          </cell>
          <cell r="R154">
            <v>127.4</v>
          </cell>
          <cell r="AA154">
            <v>1082.27</v>
          </cell>
          <cell r="AU154">
            <v>1066.78</v>
          </cell>
          <cell r="AY154">
            <v>2726.5</v>
          </cell>
        </row>
        <row r="155">
          <cell r="H155">
            <v>4.05</v>
          </cell>
          <cell r="M155">
            <v>858.83</v>
          </cell>
          <cell r="R155">
            <v>1502.82</v>
          </cell>
          <cell r="AA155">
            <v>736.05</v>
          </cell>
          <cell r="AU155">
            <v>72.37</v>
          </cell>
          <cell r="AY155">
            <v>7719.37</v>
          </cell>
        </row>
        <row r="156">
          <cell r="H156">
            <v>37555.65</v>
          </cell>
          <cell r="M156">
            <v>1835.88</v>
          </cell>
          <cell r="R156">
            <v>3662.88</v>
          </cell>
          <cell r="AA156">
            <v>66</v>
          </cell>
          <cell r="AU156">
            <v>29630.25</v>
          </cell>
          <cell r="AY156">
            <v>836.18</v>
          </cell>
        </row>
        <row r="157">
          <cell r="H157">
            <v>349888.3</v>
          </cell>
          <cell r="M157">
            <v>1073.43</v>
          </cell>
          <cell r="R157">
            <v>1350.61</v>
          </cell>
          <cell r="AA157">
            <v>6387.32</v>
          </cell>
          <cell r="AU157">
            <v>3096</v>
          </cell>
          <cell r="AY157">
            <v>7419.33</v>
          </cell>
        </row>
        <row r="158">
          <cell r="H158">
            <v>174.96</v>
          </cell>
          <cell r="M158">
            <v>77.739999999999995</v>
          </cell>
          <cell r="R158">
            <v>212.56</v>
          </cell>
          <cell r="AA158">
            <v>9.86</v>
          </cell>
          <cell r="AU158">
            <v>3289.75</v>
          </cell>
          <cell r="AY158">
            <v>75.97</v>
          </cell>
        </row>
        <row r="159">
          <cell r="H159">
            <v>1471.65</v>
          </cell>
          <cell r="M159">
            <v>807.36</v>
          </cell>
          <cell r="R159">
            <v>1532.06</v>
          </cell>
          <cell r="AA159">
            <v>39.770000000000003</v>
          </cell>
          <cell r="AU159">
            <v>3702.32</v>
          </cell>
          <cell r="AY159">
            <v>39579.5</v>
          </cell>
        </row>
        <row r="160">
          <cell r="H160">
            <v>117594.45</v>
          </cell>
          <cell r="M160">
            <v>5.6</v>
          </cell>
          <cell r="R160">
            <v>21.7</v>
          </cell>
          <cell r="AA160">
            <v>490.69</v>
          </cell>
          <cell r="AU160">
            <v>102.59</v>
          </cell>
          <cell r="AY160">
            <v>4128</v>
          </cell>
        </row>
        <row r="161">
          <cell r="H161">
            <v>324000</v>
          </cell>
          <cell r="M161">
            <v>5499.99</v>
          </cell>
          <cell r="R161">
            <v>10999.98</v>
          </cell>
          <cell r="AA161">
            <v>195379.4</v>
          </cell>
          <cell r="AU161">
            <v>963.59</v>
          </cell>
          <cell r="AY161">
            <v>5560.75</v>
          </cell>
        </row>
        <row r="162">
          <cell r="H162">
            <v>2556.04</v>
          </cell>
          <cell r="M162">
            <v>900</v>
          </cell>
          <cell r="R162">
            <v>1800</v>
          </cell>
          <cell r="AA162">
            <v>2505.25</v>
          </cell>
          <cell r="AU162">
            <v>177.24</v>
          </cell>
          <cell r="AY162">
            <v>4374.93</v>
          </cell>
        </row>
        <row r="163">
          <cell r="H163">
            <v>0</v>
          </cell>
          <cell r="M163">
            <v>1077</v>
          </cell>
          <cell r="R163">
            <v>2154</v>
          </cell>
          <cell r="AA163">
            <v>14023.38</v>
          </cell>
          <cell r="AU163">
            <v>17564</v>
          </cell>
          <cell r="AY163">
            <v>271.14</v>
          </cell>
        </row>
        <row r="164">
          <cell r="H164">
            <v>2085.2199999999998</v>
          </cell>
          <cell r="M164">
            <v>686.66</v>
          </cell>
          <cell r="R164">
            <v>1102.98</v>
          </cell>
          <cell r="AA164">
            <v>4469.54</v>
          </cell>
          <cell r="AU164">
            <v>618.77</v>
          </cell>
          <cell r="AY164">
            <v>2219.87</v>
          </cell>
        </row>
        <row r="165">
          <cell r="H165">
            <v>299</v>
          </cell>
          <cell r="M165">
            <v>117.41</v>
          </cell>
          <cell r="R165">
            <v>3448.49</v>
          </cell>
          <cell r="AA165">
            <v>13425.38</v>
          </cell>
          <cell r="AU165">
            <v>2036.31</v>
          </cell>
          <cell r="AY165">
            <v>198.51</v>
          </cell>
        </row>
        <row r="166">
          <cell r="H166">
            <v>6577.85</v>
          </cell>
          <cell r="M166">
            <v>338.82</v>
          </cell>
          <cell r="R166">
            <v>631.16999999999996</v>
          </cell>
          <cell r="AA166">
            <v>3709.06</v>
          </cell>
          <cell r="AU166">
            <v>1102.42</v>
          </cell>
          <cell r="AY166">
            <v>78.75</v>
          </cell>
        </row>
        <row r="167">
          <cell r="H167">
            <v>1680</v>
          </cell>
          <cell r="M167">
            <v>19.8</v>
          </cell>
          <cell r="R167">
            <v>19.8</v>
          </cell>
          <cell r="AA167">
            <v>2481.36</v>
          </cell>
          <cell r="AU167">
            <v>540</v>
          </cell>
          <cell r="AY167">
            <v>17564</v>
          </cell>
        </row>
        <row r="168">
          <cell r="H168">
            <v>119</v>
          </cell>
          <cell r="M168">
            <v>37.36</v>
          </cell>
          <cell r="R168">
            <v>37.36</v>
          </cell>
          <cell r="AA168">
            <v>1389.73</v>
          </cell>
          <cell r="AU168">
            <v>8674.15</v>
          </cell>
          <cell r="AY168">
            <v>2397.9299999999998</v>
          </cell>
        </row>
        <row r="169">
          <cell r="H169">
            <v>8168.44</v>
          </cell>
          <cell r="R169">
            <v>2709.55</v>
          </cell>
          <cell r="AA169">
            <v>127.4</v>
          </cell>
          <cell r="AU169">
            <v>228</v>
          </cell>
          <cell r="AY169">
            <v>2784.58</v>
          </cell>
        </row>
        <row r="170">
          <cell r="H170">
            <v>253.1</v>
          </cell>
          <cell r="M170">
            <v>3500</v>
          </cell>
          <cell r="R170">
            <v>3500</v>
          </cell>
          <cell r="AA170">
            <v>2403.11</v>
          </cell>
          <cell r="AY170">
            <v>1397.52</v>
          </cell>
        </row>
        <row r="171">
          <cell r="H171">
            <v>20.49</v>
          </cell>
          <cell r="M171">
            <v>1979.26</v>
          </cell>
          <cell r="R171">
            <v>2704.26</v>
          </cell>
          <cell r="AA171">
            <v>5576.88</v>
          </cell>
          <cell r="AY171">
            <v>660</v>
          </cell>
        </row>
        <row r="172">
          <cell r="H172">
            <v>1615.81</v>
          </cell>
          <cell r="M172">
            <v>852.54</v>
          </cell>
          <cell r="R172">
            <v>1750.3</v>
          </cell>
          <cell r="AA172">
            <v>1744.53</v>
          </cell>
          <cell r="AY172">
            <v>8588.75</v>
          </cell>
        </row>
        <row r="173">
          <cell r="H173">
            <v>6110</v>
          </cell>
          <cell r="M173">
            <v>99.66</v>
          </cell>
          <cell r="R173">
            <v>132.88</v>
          </cell>
          <cell r="AA173">
            <v>315.81</v>
          </cell>
          <cell r="AY173">
            <v>30.47</v>
          </cell>
        </row>
        <row r="174">
          <cell r="H174">
            <v>3173.54</v>
          </cell>
          <cell r="M174">
            <v>160</v>
          </cell>
          <cell r="R174">
            <v>480</v>
          </cell>
          <cell r="AA174">
            <v>1172.9100000000001</v>
          </cell>
          <cell r="AY174">
            <v>1620.58</v>
          </cell>
        </row>
        <row r="175">
          <cell r="H175">
            <v>254649.18</v>
          </cell>
          <cell r="M175">
            <v>680.67</v>
          </cell>
          <cell r="R175">
            <v>5020.08</v>
          </cell>
          <cell r="AA175">
            <v>271.7</v>
          </cell>
          <cell r="AY175">
            <v>228</v>
          </cell>
        </row>
        <row r="176">
          <cell r="H176">
            <v>16425</v>
          </cell>
          <cell r="M176">
            <v>-0.45</v>
          </cell>
          <cell r="R176">
            <v>300</v>
          </cell>
          <cell r="AA176">
            <v>16499.97</v>
          </cell>
        </row>
        <row r="177">
          <cell r="H177">
            <v>27718.720000000001</v>
          </cell>
          <cell r="R177">
            <v>-0.48</v>
          </cell>
          <cell r="AA177">
            <v>2700</v>
          </cell>
        </row>
        <row r="178">
          <cell r="H178">
            <v>9454.0499999999993</v>
          </cell>
          <cell r="R178">
            <v>968.1</v>
          </cell>
          <cell r="AA178">
            <v>3231</v>
          </cell>
        </row>
        <row r="179">
          <cell r="H179">
            <v>23708.7</v>
          </cell>
          <cell r="AA179">
            <v>1928.07</v>
          </cell>
        </row>
        <row r="180">
          <cell r="H180">
            <v>6258.2</v>
          </cell>
          <cell r="AA180">
            <v>3478.49</v>
          </cell>
        </row>
        <row r="181">
          <cell r="H181">
            <v>3633.02</v>
          </cell>
          <cell r="AA181">
            <v>980.83</v>
          </cell>
        </row>
        <row r="182">
          <cell r="H182">
            <v>358.37</v>
          </cell>
          <cell r="AA182">
            <v>19.8</v>
          </cell>
        </row>
        <row r="183">
          <cell r="H183">
            <v>2259.71</v>
          </cell>
          <cell r="AA183">
            <v>37.36</v>
          </cell>
        </row>
        <row r="184">
          <cell r="H184">
            <v>-50</v>
          </cell>
          <cell r="AA184">
            <v>4439.24</v>
          </cell>
        </row>
        <row r="185">
          <cell r="H185">
            <v>465</v>
          </cell>
          <cell r="AA185">
            <v>3500</v>
          </cell>
        </row>
        <row r="186">
          <cell r="H186">
            <v>2179.27</v>
          </cell>
          <cell r="AA186">
            <v>2704.26</v>
          </cell>
        </row>
        <row r="187">
          <cell r="H187">
            <v>23455.34</v>
          </cell>
          <cell r="AA187">
            <v>2571.54</v>
          </cell>
        </row>
        <row r="188">
          <cell r="H188">
            <v>60</v>
          </cell>
          <cell r="AA188">
            <v>460.07</v>
          </cell>
        </row>
        <row r="189">
          <cell r="H189">
            <v>3611.58</v>
          </cell>
          <cell r="AA189">
            <v>640</v>
          </cell>
        </row>
        <row r="190">
          <cell r="H190">
            <v>1044.07</v>
          </cell>
          <cell r="AA190">
            <v>6350.45</v>
          </cell>
        </row>
        <row r="191">
          <cell r="H191">
            <v>3249.07</v>
          </cell>
          <cell r="AA191">
            <v>968.1</v>
          </cell>
        </row>
        <row r="192">
          <cell r="H192">
            <v>139.41999999999999</v>
          </cell>
          <cell r="AA192">
            <v>300</v>
          </cell>
        </row>
        <row r="193">
          <cell r="H193">
            <v>5.33</v>
          </cell>
          <cell r="AA193">
            <v>-0.48</v>
          </cell>
        </row>
        <row r="194">
          <cell r="H194">
            <v>21818.22</v>
          </cell>
        </row>
        <row r="195">
          <cell r="H195">
            <v>3600</v>
          </cell>
        </row>
        <row r="196">
          <cell r="H196">
            <v>4381.22</v>
          </cell>
        </row>
        <row r="197">
          <cell r="H197">
            <v>5476.26</v>
          </cell>
        </row>
        <row r="198">
          <cell r="H198">
            <v>2098.46</v>
          </cell>
        </row>
        <row r="199">
          <cell r="H199">
            <v>1847.33</v>
          </cell>
        </row>
        <row r="200">
          <cell r="H200">
            <v>2340.91</v>
          </cell>
        </row>
        <row r="201">
          <cell r="H201">
            <v>120.94</v>
          </cell>
        </row>
        <row r="202">
          <cell r="H202">
            <v>1963.61</v>
          </cell>
        </row>
        <row r="203">
          <cell r="H203">
            <v>2040</v>
          </cell>
        </row>
        <row r="204">
          <cell r="H204">
            <v>3830.56</v>
          </cell>
        </row>
        <row r="205">
          <cell r="H205">
            <v>33.659999999999997</v>
          </cell>
        </row>
        <row r="206">
          <cell r="H206">
            <v>5992.53</v>
          </cell>
        </row>
        <row r="207">
          <cell r="H207">
            <v>1879.87</v>
          </cell>
        </row>
        <row r="208">
          <cell r="H208">
            <v>960</v>
          </cell>
        </row>
        <row r="209">
          <cell r="H209">
            <v>10959.26</v>
          </cell>
        </row>
        <row r="210">
          <cell r="H210">
            <v>10730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tabSelected="1" zoomScale="130" zoomScaleNormal="13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P1"/>
    </sheetView>
  </sheetViews>
  <sheetFormatPr defaultColWidth="8.85546875" defaultRowHeight="11.25" x14ac:dyDescent="0.2"/>
  <cols>
    <col min="1" max="1" width="30.28515625" style="6" customWidth="1"/>
    <col min="2" max="2" width="4" style="32" hidden="1" customWidth="1"/>
    <col min="3" max="3" width="8.42578125" style="8" customWidth="1"/>
    <col min="4" max="4" width="5" style="9" bestFit="1" customWidth="1"/>
    <col min="5" max="5" width="7.7109375" style="8" bestFit="1" customWidth="1"/>
    <col min="6" max="6" width="5" style="9" bestFit="1" customWidth="1"/>
    <col min="7" max="7" width="8.28515625" style="9" bestFit="1" customWidth="1"/>
    <col min="8" max="8" width="2" style="23" customWidth="1"/>
    <col min="9" max="9" width="9" style="8" bestFit="1" customWidth="1"/>
    <col min="10" max="10" width="5" style="9" bestFit="1" customWidth="1"/>
    <col min="11" max="11" width="9" style="8" bestFit="1" customWidth="1"/>
    <col min="12" max="12" width="5" style="9" bestFit="1" customWidth="1"/>
    <col min="13" max="13" width="8.42578125" style="8" customWidth="1"/>
    <col min="14" max="14" width="2" style="6" customWidth="1"/>
    <col min="15" max="15" width="19.140625" style="8" bestFit="1" customWidth="1"/>
    <col min="16" max="16" width="5" style="6" bestFit="1" customWidth="1"/>
    <col min="17" max="16384" width="8.85546875" style="6"/>
  </cols>
  <sheetData>
    <row r="1" spans="1:19" ht="18" x14ac:dyDescent="0.25">
      <c r="A1" s="162" t="s">
        <v>195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9" ht="18" x14ac:dyDescent="0.25">
      <c r="A2" s="162" t="s">
        <v>292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9" x14ac:dyDescent="0.2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9" x14ac:dyDescent="0.2">
      <c r="A4" s="7"/>
      <c r="B4" s="71"/>
      <c r="C4" s="161" t="s">
        <v>262</v>
      </c>
      <c r="D4" s="161"/>
      <c r="E4" s="161"/>
      <c r="F4" s="161"/>
      <c r="G4" s="161"/>
      <c r="I4" s="161" t="s">
        <v>261</v>
      </c>
      <c r="J4" s="161"/>
      <c r="K4" s="161"/>
      <c r="L4" s="161"/>
      <c r="M4" s="161"/>
      <c r="N4" s="32"/>
      <c r="O4" s="161" t="s">
        <v>281</v>
      </c>
      <c r="P4" s="161"/>
      <c r="Q4" s="147"/>
      <c r="R4" s="147"/>
      <c r="S4" s="147"/>
    </row>
    <row r="5" spans="1:19" ht="20.45" customHeight="1" x14ac:dyDescent="0.2">
      <c r="C5" s="160" t="s">
        <v>264</v>
      </c>
      <c r="D5" s="160"/>
      <c r="E5" s="160"/>
      <c r="F5" s="160"/>
      <c r="G5" s="160"/>
      <c r="H5" s="29"/>
      <c r="I5" s="160" t="s">
        <v>264</v>
      </c>
      <c r="J5" s="160"/>
      <c r="K5" s="160"/>
      <c r="L5" s="160"/>
      <c r="M5" s="160"/>
      <c r="N5" s="32"/>
      <c r="O5" s="160" t="s">
        <v>282</v>
      </c>
      <c r="P5" s="160"/>
      <c r="Q5" s="148"/>
      <c r="R5" s="148"/>
      <c r="S5" s="148"/>
    </row>
    <row r="6" spans="1:19" ht="14.25" customHeight="1" x14ac:dyDescent="0.2">
      <c r="C6" s="10" t="s">
        <v>0</v>
      </c>
      <c r="D6" s="11"/>
      <c r="E6" s="10" t="s">
        <v>1</v>
      </c>
      <c r="F6" s="11"/>
      <c r="G6" s="10" t="s">
        <v>69</v>
      </c>
      <c r="H6" s="30"/>
      <c r="I6" s="10" t="s">
        <v>0</v>
      </c>
      <c r="J6" s="11"/>
      <c r="K6" s="10" t="s">
        <v>1</v>
      </c>
      <c r="L6" s="11"/>
      <c r="M6" s="10" t="s">
        <v>69</v>
      </c>
      <c r="N6" s="32"/>
      <c r="O6" s="10" t="s">
        <v>0</v>
      </c>
      <c r="P6" s="11"/>
    </row>
    <row r="7" spans="1:19" x14ac:dyDescent="0.2">
      <c r="G7" s="8"/>
      <c r="N7" s="32"/>
      <c r="P7" s="9"/>
    </row>
    <row r="8" spans="1:19" x14ac:dyDescent="0.2">
      <c r="A8" s="12" t="s">
        <v>142</v>
      </c>
      <c r="B8" s="72"/>
      <c r="C8" s="8">
        <f>C19+C46</f>
        <v>747248.98</v>
      </c>
      <c r="E8" s="8">
        <f>E19+E46</f>
        <v>747026</v>
      </c>
      <c r="G8" s="8">
        <f>G19+G46</f>
        <v>222.98000000004686</v>
      </c>
      <c r="N8" s="32"/>
      <c r="O8" s="8">
        <f>O19+O46</f>
        <v>650135.55000000005</v>
      </c>
      <c r="P8" s="9"/>
    </row>
    <row r="9" spans="1:19" x14ac:dyDescent="0.2">
      <c r="A9" s="13" t="s">
        <v>143</v>
      </c>
      <c r="B9" s="72"/>
      <c r="C9" s="79">
        <f>C36+C55</f>
        <v>673004.04999999993</v>
      </c>
      <c r="D9" s="78"/>
      <c r="E9" s="79">
        <f t="shared" ref="E9:G9" si="0">E36+E55</f>
        <v>693545.14</v>
      </c>
      <c r="F9" s="78"/>
      <c r="G9" s="79">
        <f t="shared" si="0"/>
        <v>-20541.090000000018</v>
      </c>
      <c r="H9" s="82"/>
      <c r="I9" s="79"/>
      <c r="J9" s="78"/>
      <c r="K9" s="79"/>
      <c r="L9" s="78"/>
      <c r="M9" s="79"/>
      <c r="N9" s="32"/>
      <c r="O9" s="79">
        <f>O36+O55</f>
        <v>620559.97</v>
      </c>
      <c r="P9" s="78"/>
    </row>
    <row r="10" spans="1:19" x14ac:dyDescent="0.2">
      <c r="A10" s="13" t="s">
        <v>144</v>
      </c>
      <c r="B10" s="72"/>
      <c r="C10" s="14">
        <f>C8-C9</f>
        <v>74244.930000000051</v>
      </c>
      <c r="D10" s="15"/>
      <c r="E10" s="14">
        <f t="shared" ref="E10:G10" si="1">E8-E9</f>
        <v>53480.859999999986</v>
      </c>
      <c r="F10" s="15"/>
      <c r="G10" s="14">
        <f t="shared" si="1"/>
        <v>20764.070000000065</v>
      </c>
      <c r="H10" s="31"/>
      <c r="I10" s="14"/>
      <c r="J10" s="15"/>
      <c r="K10" s="14"/>
      <c r="L10" s="15"/>
      <c r="M10" s="14"/>
      <c r="N10" s="32"/>
      <c r="O10" s="14">
        <f>O8-O9</f>
        <v>29575.580000000075</v>
      </c>
      <c r="P10" s="15"/>
    </row>
    <row r="11" spans="1:19" x14ac:dyDescent="0.2">
      <c r="A11" s="16"/>
      <c r="B11" s="72"/>
      <c r="G11" s="8"/>
      <c r="I11" s="157" t="s">
        <v>283</v>
      </c>
      <c r="J11" s="157"/>
      <c r="K11" s="157"/>
      <c r="L11" s="157"/>
      <c r="M11" s="157"/>
      <c r="N11" s="32"/>
      <c r="P11" s="9"/>
    </row>
    <row r="12" spans="1:19" x14ac:dyDescent="0.2">
      <c r="A12" s="158" t="s">
        <v>145</v>
      </c>
      <c r="B12" s="158"/>
      <c r="C12" s="17" t="s">
        <v>146</v>
      </c>
      <c r="D12" s="28"/>
      <c r="E12" s="35"/>
      <c r="F12" s="28"/>
      <c r="G12" s="35"/>
      <c r="I12" s="157"/>
      <c r="J12" s="157"/>
      <c r="K12" s="157"/>
      <c r="L12" s="157"/>
      <c r="M12" s="157"/>
      <c r="N12" s="32"/>
      <c r="O12" s="35"/>
      <c r="P12" s="28"/>
    </row>
    <row r="13" spans="1:19" x14ac:dyDescent="0.2">
      <c r="A13" s="13" t="s">
        <v>2</v>
      </c>
      <c r="B13" s="72"/>
      <c r="G13" s="8"/>
      <c r="I13" s="157"/>
      <c r="J13" s="157"/>
      <c r="K13" s="157"/>
      <c r="L13" s="157"/>
      <c r="M13" s="157"/>
      <c r="N13" s="32"/>
      <c r="P13" s="9"/>
    </row>
    <row r="14" spans="1:19" x14ac:dyDescent="0.2">
      <c r="A14" s="18" t="s">
        <v>147</v>
      </c>
      <c r="B14" s="19">
        <v>10</v>
      </c>
      <c r="C14" s="8">
        <f>'MRI download'!E7</f>
        <v>593578.88</v>
      </c>
      <c r="D14" s="9">
        <f>C14/$C$19</f>
        <v>0.88610274102855857</v>
      </c>
      <c r="E14" s="8">
        <f>'MRI download'!G7</f>
        <v>604005</v>
      </c>
      <c r="F14" s="9">
        <f>E14/$E$19</f>
        <v>0.90450240799309944</v>
      </c>
      <c r="G14" s="8">
        <f>C14-E14</f>
        <v>-10426.119999999995</v>
      </c>
      <c r="H14" s="20"/>
      <c r="N14" s="32"/>
      <c r="O14" s="8">
        <f>'MRI download'!K7</f>
        <v>495285.99</v>
      </c>
      <c r="P14" s="9">
        <f>O14/$O$19</f>
        <v>0.88390923799621579</v>
      </c>
    </row>
    <row r="15" spans="1:19" s="32" customFormat="1" x14ac:dyDescent="0.2">
      <c r="A15" s="19" t="s">
        <v>148</v>
      </c>
      <c r="B15" s="19">
        <v>11</v>
      </c>
      <c r="C15" s="20">
        <f>SUM('MRI download'!E9:E14)+'MRI download'!E21</f>
        <v>46830.3</v>
      </c>
      <c r="D15" s="23">
        <f t="shared" ref="D15:D18" si="2">C15/$C$19</f>
        <v>6.9908917906900098E-2</v>
      </c>
      <c r="E15" s="20">
        <f>SUM('MRI download'!G9:G14)+'MRI download'!G21</f>
        <v>39447</v>
      </c>
      <c r="F15" s="23">
        <f t="shared" ref="F15:F19" si="3">E15/$E$19</f>
        <v>5.9072203852788961E-2</v>
      </c>
      <c r="G15" s="20">
        <f t="shared" ref="G15:G18" si="4">C15-E15</f>
        <v>7383.3000000000029</v>
      </c>
      <c r="H15" s="20"/>
      <c r="I15" s="20"/>
      <c r="J15" s="23"/>
      <c r="K15" s="20"/>
      <c r="L15" s="23"/>
      <c r="M15" s="20"/>
      <c r="O15" s="20">
        <f>SUM('MRI download'!K9:K11)+SUM('MRI download'!K13:K14)+'MRI download'!K21</f>
        <v>50071.820000000007</v>
      </c>
      <c r="P15" s="23">
        <f t="shared" ref="P15:P19" si="5">O15/$O$19</f>
        <v>8.9360379972152418E-2</v>
      </c>
    </row>
    <row r="16" spans="1:19" x14ac:dyDescent="0.2">
      <c r="A16" s="18" t="s">
        <v>149</v>
      </c>
      <c r="B16" s="19">
        <v>12</v>
      </c>
      <c r="C16" s="8">
        <f>'MRI download'!E8</f>
        <v>12664.07</v>
      </c>
      <c r="D16" s="9">
        <f t="shared" si="2"/>
        <v>1.8905098408450005E-2</v>
      </c>
      <c r="E16" s="8">
        <f>'MRI download'!G8</f>
        <v>12663</v>
      </c>
      <c r="F16" s="9">
        <f t="shared" si="3"/>
        <v>1.8962945658424383E-2</v>
      </c>
      <c r="G16" s="8">
        <f t="shared" si="4"/>
        <v>1.069999999999709</v>
      </c>
      <c r="H16" s="20"/>
      <c r="N16" s="32"/>
      <c r="O16" s="8">
        <f>'MRI download'!K8</f>
        <v>9055.9</v>
      </c>
      <c r="P16" s="9">
        <f t="shared" si="5"/>
        <v>1.6161558836683288E-2</v>
      </c>
    </row>
    <row r="17" spans="1:16" s="32" customFormat="1" x14ac:dyDescent="0.2">
      <c r="A17" s="19" t="s">
        <v>150</v>
      </c>
      <c r="B17" s="19">
        <v>9</v>
      </c>
      <c r="C17" s="20">
        <f>'MRI download'!E19</f>
        <v>0</v>
      </c>
      <c r="D17" s="23">
        <f t="shared" si="2"/>
        <v>0</v>
      </c>
      <c r="E17" s="20">
        <f>'MRI download'!G19</f>
        <v>0</v>
      </c>
      <c r="F17" s="23">
        <f t="shared" si="3"/>
        <v>0</v>
      </c>
      <c r="G17" s="20">
        <f t="shared" si="4"/>
        <v>0</v>
      </c>
      <c r="H17" s="20"/>
      <c r="I17" s="20"/>
      <c r="J17" s="23"/>
      <c r="K17" s="20"/>
      <c r="L17" s="23"/>
      <c r="M17" s="20"/>
      <c r="O17" s="20">
        <f>'MRI download'!K19</f>
        <v>0</v>
      </c>
      <c r="P17" s="23">
        <f t="shared" si="5"/>
        <v>0</v>
      </c>
    </row>
    <row r="18" spans="1:16" s="81" customFormat="1" x14ac:dyDescent="0.2">
      <c r="A18" s="18" t="s">
        <v>284</v>
      </c>
      <c r="B18" s="18">
        <v>13</v>
      </c>
      <c r="C18" s="80">
        <f>'MRI download'!E24-SUM('Activities summary'!C14:C17)</f>
        <v>16802.660000000033</v>
      </c>
      <c r="D18" s="156">
        <f t="shared" si="2"/>
        <v>2.5083242656091381E-2</v>
      </c>
      <c r="E18" s="80">
        <f>'MRI download'!G24-SUM('Activities summary'!E14:E17)</f>
        <v>11661</v>
      </c>
      <c r="F18" s="156">
        <f t="shared" si="3"/>
        <v>1.7462442495687177E-2</v>
      </c>
      <c r="G18" s="80">
        <f t="shared" si="4"/>
        <v>5141.6600000000326</v>
      </c>
      <c r="H18" s="77"/>
      <c r="I18" s="80"/>
      <c r="J18" s="78"/>
      <c r="K18" s="80"/>
      <c r="L18" s="78"/>
      <c r="M18" s="80"/>
      <c r="N18" s="32"/>
      <c r="O18" s="80">
        <f>'MRI download'!K24-SUM('Activities summary'!O14:O17)</f>
        <v>5922.0899999999674</v>
      </c>
      <c r="P18" s="156">
        <f t="shared" si="5"/>
        <v>1.0568823194948399E-2</v>
      </c>
    </row>
    <row r="19" spans="1:16" x14ac:dyDescent="0.2">
      <c r="A19" s="21" t="s">
        <v>142</v>
      </c>
      <c r="B19" s="73"/>
      <c r="C19" s="8">
        <f>SUM(C14:C18)</f>
        <v>669875.91</v>
      </c>
      <c r="D19" s="9">
        <f>SUM(D14:D18)</f>
        <v>1</v>
      </c>
      <c r="E19" s="8">
        <f t="shared" ref="E19:G19" si="6">SUM(E14:E18)</f>
        <v>667776</v>
      </c>
      <c r="F19" s="9">
        <f t="shared" si="3"/>
        <v>1</v>
      </c>
      <c r="G19" s="8">
        <f t="shared" si="6"/>
        <v>2099.9100000000399</v>
      </c>
      <c r="H19" s="20"/>
      <c r="N19" s="32"/>
      <c r="O19" s="8">
        <f>SUM(O14:O18)</f>
        <v>560335.80000000005</v>
      </c>
      <c r="P19" s="9">
        <f t="shared" si="5"/>
        <v>1</v>
      </c>
    </row>
    <row r="20" spans="1:16" x14ac:dyDescent="0.2">
      <c r="B20" s="73"/>
      <c r="G20" s="8"/>
      <c r="N20" s="32"/>
      <c r="P20" s="9"/>
    </row>
    <row r="21" spans="1:16" x14ac:dyDescent="0.2">
      <c r="A21" s="13" t="s">
        <v>17</v>
      </c>
      <c r="B21" s="72"/>
      <c r="G21" s="8"/>
      <c r="N21" s="32"/>
      <c r="P21" s="9"/>
    </row>
    <row r="22" spans="1:16" x14ac:dyDescent="0.2">
      <c r="A22" s="18" t="s">
        <v>151</v>
      </c>
      <c r="B22" s="19">
        <v>14</v>
      </c>
      <c r="C22" s="8">
        <f>'MRI download'!E27</f>
        <v>31691.73</v>
      </c>
      <c r="D22" s="9">
        <f>C22/$C$36</f>
        <v>5.6147360047942872E-2</v>
      </c>
      <c r="E22" s="8">
        <f>'MRI download'!G27</f>
        <v>33663</v>
      </c>
      <c r="F22" s="9">
        <f>E22/$E$36</f>
        <v>5.8821370908557172E-2</v>
      </c>
      <c r="G22" s="8">
        <f>C22-E22</f>
        <v>-1971.2700000000004</v>
      </c>
      <c r="H22" s="20"/>
      <c r="N22" s="32"/>
      <c r="O22" s="8">
        <f>'MRI download'!K27</f>
        <v>34112.410000000003</v>
      </c>
      <c r="P22" s="9">
        <f>O22/$O$36</f>
        <v>6.7829602680430159E-2</v>
      </c>
    </row>
    <row r="23" spans="1:16" s="32" customFormat="1" x14ac:dyDescent="0.2">
      <c r="A23" s="19" t="s">
        <v>289</v>
      </c>
      <c r="B23" s="19">
        <v>15</v>
      </c>
      <c r="C23" s="20">
        <f>SUM('MRI download'!E28:E30)</f>
        <v>72001.64</v>
      </c>
      <c r="D23" s="23">
        <f t="shared" ref="D23:D36" si="7">C23/$C$36</f>
        <v>0.12756331084236694</v>
      </c>
      <c r="E23" s="20">
        <f>SUM('MRI download'!G28:G30)</f>
        <v>83767</v>
      </c>
      <c r="F23" s="23">
        <f t="shared" ref="F23:F35" si="8">E23/$E$36</f>
        <v>0.14637108329314405</v>
      </c>
      <c r="G23" s="20">
        <f t="shared" ref="G23:G35" si="9">C23-E23</f>
        <v>-11765.36</v>
      </c>
      <c r="H23" s="20"/>
      <c r="I23" s="20"/>
      <c r="J23" s="23"/>
      <c r="K23" s="20"/>
      <c r="L23" s="23"/>
      <c r="M23" s="20"/>
      <c r="O23" s="20">
        <f>SUM('MRI download'!K28:K30)</f>
        <v>66940.17</v>
      </c>
      <c r="P23" s="23">
        <f t="shared" ref="P23:P36" si="10">O23/$O$36</f>
        <v>0.13310478897446559</v>
      </c>
    </row>
    <row r="24" spans="1:16" x14ac:dyDescent="0.2">
      <c r="A24" s="18" t="s">
        <v>152</v>
      </c>
      <c r="B24" s="19">
        <v>16</v>
      </c>
      <c r="C24" s="8">
        <f>SUM('MRI download'!E31:E39)+'MRI download'!E41</f>
        <v>32944.68</v>
      </c>
      <c r="D24" s="9">
        <f t="shared" si="7"/>
        <v>5.8367176851003795E-2</v>
      </c>
      <c r="E24" s="8">
        <f>SUM('MRI download'!G31:G39)+'MRI download'!G41</f>
        <v>30374</v>
      </c>
      <c r="F24" s="9">
        <f t="shared" si="8"/>
        <v>5.3074304725559678E-2</v>
      </c>
      <c r="G24" s="8">
        <f t="shared" si="9"/>
        <v>2570.6800000000003</v>
      </c>
      <c r="H24" s="20"/>
      <c r="N24" s="32"/>
      <c r="O24" s="8">
        <f>SUM('MRI download'!K31:K39)+'MRI download'!K41</f>
        <v>31266.1</v>
      </c>
      <c r="P24" s="9">
        <f t="shared" si="10"/>
        <v>6.2169959271907119E-2</v>
      </c>
    </row>
    <row r="25" spans="1:16" s="32" customFormat="1" x14ac:dyDescent="0.2">
      <c r="A25" s="19" t="s">
        <v>153</v>
      </c>
      <c r="B25" s="19">
        <v>17</v>
      </c>
      <c r="C25" s="20">
        <f>SUM('MRI download'!E42:E46)+SUM('MRI download'!E48:E51)</f>
        <v>10176.83</v>
      </c>
      <c r="D25" s="23">
        <f t="shared" si="7"/>
        <v>1.8030007770377523E-2</v>
      </c>
      <c r="E25" s="20">
        <f>SUM('MRI download'!G42:G46)+SUM('MRI download'!G48:G51)</f>
        <v>14135</v>
      </c>
      <c r="F25" s="23">
        <f t="shared" si="8"/>
        <v>2.4698929916895571E-2</v>
      </c>
      <c r="G25" s="20">
        <f t="shared" si="9"/>
        <v>-3958.17</v>
      </c>
      <c r="H25" s="20"/>
      <c r="I25" s="20"/>
      <c r="J25" s="23"/>
      <c r="K25" s="20"/>
      <c r="L25" s="23"/>
      <c r="M25" s="20"/>
      <c r="O25" s="20">
        <f>SUM('MRI download'!K42:K46)+SUM('MRI download'!K48:K51)</f>
        <v>9435.9</v>
      </c>
      <c r="P25" s="23">
        <f t="shared" si="10"/>
        <v>1.8762478169448329E-2</v>
      </c>
    </row>
    <row r="26" spans="1:16" x14ac:dyDescent="0.2">
      <c r="A26" s="18" t="s">
        <v>290</v>
      </c>
      <c r="B26" s="19">
        <v>18</v>
      </c>
      <c r="C26" s="8">
        <f>SUM('MRI download'!E67:E70)</f>
        <v>107293.51999999999</v>
      </c>
      <c r="D26" s="9">
        <f t="shared" si="7"/>
        <v>0.19008895690614425</v>
      </c>
      <c r="E26" s="8">
        <f>SUM('MRI download'!G67:G70)</f>
        <v>74259</v>
      </c>
      <c r="F26" s="9">
        <f t="shared" si="8"/>
        <v>0.12975718689060828</v>
      </c>
      <c r="G26" s="8">
        <f t="shared" si="9"/>
        <v>33034.51999999999</v>
      </c>
      <c r="H26" s="20"/>
      <c r="N26" s="32"/>
      <c r="O26" s="8">
        <f>SUM('MRI download'!K67:K70)</f>
        <v>88834.13</v>
      </c>
      <c r="P26" s="9">
        <f t="shared" si="10"/>
        <v>0.17663905137050362</v>
      </c>
    </row>
    <row r="27" spans="1:16" s="32" customFormat="1" x14ac:dyDescent="0.2">
      <c r="A27" s="19" t="s">
        <v>138</v>
      </c>
      <c r="B27" s="19">
        <v>19</v>
      </c>
      <c r="C27" s="20">
        <f>'MRI download'!E82</f>
        <v>30000</v>
      </c>
      <c r="D27" s="23">
        <f t="shared" si="7"/>
        <v>5.3150168874917407E-2</v>
      </c>
      <c r="E27" s="20">
        <f>'MRI download'!G82</f>
        <v>30000</v>
      </c>
      <c r="F27" s="23">
        <f t="shared" si="8"/>
        <v>5.2420792183011468E-2</v>
      </c>
      <c r="G27" s="20">
        <f t="shared" si="9"/>
        <v>0</v>
      </c>
      <c r="H27" s="20"/>
      <c r="I27" s="20"/>
      <c r="J27" s="23"/>
      <c r="K27" s="20"/>
      <c r="L27" s="23"/>
      <c r="M27" s="20"/>
      <c r="O27" s="20">
        <f>'MRI download'!K82</f>
        <v>38703.31</v>
      </c>
      <c r="P27" s="23">
        <f t="shared" si="10"/>
        <v>7.6958213732700773E-2</v>
      </c>
    </row>
    <row r="28" spans="1:16" x14ac:dyDescent="0.2">
      <c r="A28" s="18" t="s">
        <v>291</v>
      </c>
      <c r="B28" s="19">
        <v>20</v>
      </c>
      <c r="C28" s="8">
        <f>'MRI download'!E72+'MRI download'!E74+'MRI download'!E80</f>
        <v>4355.2</v>
      </c>
      <c r="D28" s="9">
        <f t="shared" si="7"/>
        <v>7.7159871828013423E-3</v>
      </c>
      <c r="E28" s="8">
        <f>'MRI download'!G72+'MRI download'!G74+'MRI download'!G80</f>
        <v>15025</v>
      </c>
      <c r="F28" s="9">
        <f t="shared" si="8"/>
        <v>2.6254080084991579E-2</v>
      </c>
      <c r="G28" s="8">
        <f t="shared" si="9"/>
        <v>-10669.8</v>
      </c>
      <c r="H28" s="20"/>
      <c r="N28" s="32"/>
      <c r="O28" s="8">
        <f>'MRI download'!K72+'MRI download'!K74+'MRI download'!K80</f>
        <v>4733.5600000000004</v>
      </c>
      <c r="P28" s="9">
        <f t="shared" si="10"/>
        <v>9.412278231411296E-3</v>
      </c>
    </row>
    <row r="29" spans="1:16" s="32" customFormat="1" x14ac:dyDescent="0.2">
      <c r="A29" s="19" t="s">
        <v>154</v>
      </c>
      <c r="B29" s="19">
        <v>21</v>
      </c>
      <c r="C29" s="20">
        <f>'MRI download'!E79</f>
        <v>92511</v>
      </c>
      <c r="D29" s="23">
        <f t="shared" si="7"/>
        <v>0.16389917575958279</v>
      </c>
      <c r="E29" s="20">
        <f>'MRI download'!G79</f>
        <v>92503</v>
      </c>
      <c r="F29" s="23">
        <f t="shared" si="8"/>
        <v>0.16163601797683699</v>
      </c>
      <c r="G29" s="20">
        <f t="shared" si="9"/>
        <v>8</v>
      </c>
      <c r="H29" s="20"/>
      <c r="I29" s="20"/>
      <c r="J29" s="23"/>
      <c r="K29" s="20"/>
      <c r="L29" s="23"/>
      <c r="M29" s="20"/>
      <c r="O29" s="20">
        <f>'MRI download'!K79</f>
        <v>84999</v>
      </c>
      <c r="P29" s="23">
        <f t="shared" si="10"/>
        <v>0.16901322416779943</v>
      </c>
    </row>
    <row r="30" spans="1:16" x14ac:dyDescent="0.2">
      <c r="A30" s="18" t="s">
        <v>155</v>
      </c>
      <c r="B30" s="19">
        <v>22</v>
      </c>
      <c r="C30" s="8">
        <f>'MRI download'!E52+SUM('MRI download'!E54:E66)</f>
        <v>76196.14</v>
      </c>
      <c r="D30" s="9">
        <f t="shared" si="7"/>
        <v>0.13499459028722829</v>
      </c>
      <c r="E30" s="8">
        <f>'MRI download'!G52+SUM('MRI download'!G54:G66)</f>
        <v>59727</v>
      </c>
      <c r="F30" s="9">
        <f t="shared" si="8"/>
        <v>0.10436455515715753</v>
      </c>
      <c r="G30" s="8">
        <f t="shared" si="9"/>
        <v>16469.14</v>
      </c>
      <c r="H30" s="20"/>
      <c r="N30" s="32"/>
      <c r="O30" s="8">
        <f>'MRI download'!K52+SUM('MRI download'!K54:K66)</f>
        <v>51527.340000000004</v>
      </c>
      <c r="P30" s="9">
        <f t="shared" si="10"/>
        <v>0.1024576979280982</v>
      </c>
    </row>
    <row r="31" spans="1:16" x14ac:dyDescent="0.2">
      <c r="A31" s="18" t="s">
        <v>280</v>
      </c>
      <c r="B31" s="19">
        <v>27</v>
      </c>
      <c r="C31" s="8">
        <f>'MRI download'!E53</f>
        <v>0</v>
      </c>
      <c r="D31" s="9">
        <f t="shared" si="7"/>
        <v>0</v>
      </c>
      <c r="E31" s="8">
        <f>'MRI download'!G53</f>
        <v>12506</v>
      </c>
      <c r="F31" s="9">
        <f t="shared" si="8"/>
        <v>2.1852480901358048E-2</v>
      </c>
      <c r="G31" s="8">
        <f t="shared" si="9"/>
        <v>-12506</v>
      </c>
      <c r="H31" s="20"/>
      <c r="N31" s="32"/>
      <c r="O31" s="8">
        <f>'MRI download'!K53</f>
        <v>0</v>
      </c>
      <c r="P31" s="9">
        <f t="shared" si="10"/>
        <v>0</v>
      </c>
    </row>
    <row r="32" spans="1:16" s="32" customFormat="1" x14ac:dyDescent="0.2">
      <c r="A32" s="19" t="s">
        <v>156</v>
      </c>
      <c r="B32" s="19">
        <v>23</v>
      </c>
      <c r="C32" s="20">
        <f>'MRI download'!E47+'MRI download'!E73+SUM('MRI download'!E75:E77)+'MRI download'!E81</f>
        <v>22554.02</v>
      </c>
      <c r="D32" s="23">
        <f t="shared" si="7"/>
        <v>3.9958332393608825E-2</v>
      </c>
      <c r="E32" s="20">
        <f>'MRI download'!G47+'MRI download'!G73+SUM('MRI download'!G75:G77)+'MRI download'!G81</f>
        <v>35212</v>
      </c>
      <c r="F32" s="23">
        <f t="shared" si="8"/>
        <v>6.1528031144939994E-2</v>
      </c>
      <c r="G32" s="20">
        <f t="shared" si="9"/>
        <v>-12657.98</v>
      </c>
      <c r="H32" s="20"/>
      <c r="I32" s="20"/>
      <c r="J32" s="23"/>
      <c r="K32" s="20"/>
      <c r="L32" s="23"/>
      <c r="M32" s="20"/>
      <c r="O32" s="20">
        <f>'MRI download'!K47+'MRI download'!K73+SUM('MRI download'!K75:K77)+'MRI download'!K81</f>
        <v>7457.97</v>
      </c>
      <c r="P32" s="23">
        <f t="shared" si="10"/>
        <v>1.4829533940948988E-2</v>
      </c>
    </row>
    <row r="33" spans="1:16" x14ac:dyDescent="0.2">
      <c r="A33" s="18" t="s">
        <v>157</v>
      </c>
      <c r="B33" s="19">
        <v>24</v>
      </c>
      <c r="C33" s="8">
        <f>'MRI download'!E40+'MRI download'!E71</f>
        <v>2213.71</v>
      </c>
      <c r="D33" s="9">
        <f t="shared" si="7"/>
        <v>3.9219686780031134E-3</v>
      </c>
      <c r="E33" s="8">
        <f>'MRI download'!G40+'MRI download'!G71</f>
        <v>2259</v>
      </c>
      <c r="F33" s="9">
        <f t="shared" si="8"/>
        <v>3.9472856513807636E-3</v>
      </c>
      <c r="G33" s="8">
        <f t="shared" si="9"/>
        <v>-45.289999999999964</v>
      </c>
      <c r="H33" s="20"/>
      <c r="N33" s="32"/>
      <c r="O33" s="8">
        <f>'MRI download'!K40+'MRI download'!K71</f>
        <v>2403.42</v>
      </c>
      <c r="P33" s="9">
        <f t="shared" si="10"/>
        <v>4.7789946143998461E-3</v>
      </c>
    </row>
    <row r="34" spans="1:16" s="32" customFormat="1" x14ac:dyDescent="0.2">
      <c r="A34" s="19" t="s">
        <v>158</v>
      </c>
      <c r="B34" s="19">
        <v>25</v>
      </c>
      <c r="C34" s="20">
        <f>'MRI download'!E78</f>
        <v>0</v>
      </c>
      <c r="D34" s="23">
        <f t="shared" si="7"/>
        <v>0</v>
      </c>
      <c r="E34" s="20">
        <f>'MRI download'!G78</f>
        <v>6362</v>
      </c>
      <c r="F34" s="23">
        <f t="shared" si="8"/>
        <v>1.11167026622773E-2</v>
      </c>
      <c r="G34" s="20">
        <f t="shared" si="9"/>
        <v>-6362</v>
      </c>
      <c r="H34" s="20"/>
      <c r="I34" s="20"/>
      <c r="J34" s="23"/>
      <c r="K34" s="20"/>
      <c r="L34" s="23"/>
      <c r="M34" s="20"/>
      <c r="O34" s="20">
        <f>'MRI download'!K78</f>
        <v>0</v>
      </c>
      <c r="P34" s="23">
        <f t="shared" si="10"/>
        <v>0</v>
      </c>
    </row>
    <row r="35" spans="1:16" x14ac:dyDescent="0.2">
      <c r="A35" s="18" t="s">
        <v>159</v>
      </c>
      <c r="B35" s="19">
        <v>26</v>
      </c>
      <c r="C35" s="79">
        <f>'MRI download'!E83</f>
        <v>82500</v>
      </c>
      <c r="D35" s="78">
        <f t="shared" si="7"/>
        <v>0.14616296440602286</v>
      </c>
      <c r="E35" s="79">
        <f>'MRI download'!G83</f>
        <v>82500</v>
      </c>
      <c r="F35" s="78">
        <f t="shared" si="8"/>
        <v>0.14415717850328155</v>
      </c>
      <c r="G35" s="79">
        <f t="shared" si="9"/>
        <v>0</v>
      </c>
      <c r="H35" s="77"/>
      <c r="I35" s="79"/>
      <c r="J35" s="78"/>
      <c r="K35" s="79"/>
      <c r="L35" s="78"/>
      <c r="M35" s="79"/>
      <c r="N35" s="32"/>
      <c r="O35" s="79">
        <f>'MRI download'!K83</f>
        <v>82500</v>
      </c>
      <c r="P35" s="78">
        <f t="shared" si="10"/>
        <v>0.1640441769178867</v>
      </c>
    </row>
    <row r="36" spans="1:16" s="32" customFormat="1" x14ac:dyDescent="0.2">
      <c r="A36" s="22" t="s">
        <v>143</v>
      </c>
      <c r="B36" s="22"/>
      <c r="C36" s="20">
        <f>SUM(C22:C35)</f>
        <v>564438.47</v>
      </c>
      <c r="D36" s="23">
        <f t="shared" si="7"/>
        <v>1</v>
      </c>
      <c r="E36" s="20">
        <f>SUM(E22:E35)</f>
        <v>572292</v>
      </c>
      <c r="F36" s="23">
        <f>SUM(F22:F35)</f>
        <v>1</v>
      </c>
      <c r="G36" s="20">
        <f>SUM(G22:G35)</f>
        <v>-7853.5300000000125</v>
      </c>
      <c r="H36" s="20"/>
      <c r="I36" s="20"/>
      <c r="J36" s="23"/>
      <c r="K36" s="20"/>
      <c r="L36" s="23"/>
      <c r="M36" s="20"/>
      <c r="O36" s="20">
        <f>SUM(O22:O35)</f>
        <v>502913.31</v>
      </c>
      <c r="P36" s="23">
        <f t="shared" si="10"/>
        <v>1</v>
      </c>
    </row>
    <row r="37" spans="1:16" x14ac:dyDescent="0.2">
      <c r="A37" s="16"/>
      <c r="B37" s="22"/>
      <c r="G37" s="8"/>
      <c r="N37" s="32"/>
      <c r="P37" s="9"/>
    </row>
    <row r="38" spans="1:16" s="24" customFormat="1" x14ac:dyDescent="0.2">
      <c r="A38" s="13" t="s">
        <v>144</v>
      </c>
      <c r="B38" s="72"/>
      <c r="C38" s="14">
        <f>C19-C36</f>
        <v>105437.44000000006</v>
      </c>
      <c r="D38" s="15"/>
      <c r="E38" s="14">
        <f>E19-E36</f>
        <v>95484</v>
      </c>
      <c r="F38" s="15"/>
      <c r="G38" s="14">
        <f>G19-G36</f>
        <v>9953.4400000000533</v>
      </c>
      <c r="H38" s="31"/>
      <c r="I38" s="14"/>
      <c r="J38" s="15"/>
      <c r="K38" s="14"/>
      <c r="L38" s="15"/>
      <c r="M38" s="14"/>
      <c r="N38" s="146"/>
      <c r="O38" s="14">
        <f>O19-O36</f>
        <v>57422.490000000049</v>
      </c>
      <c r="P38" s="15"/>
    </row>
    <row r="39" spans="1:16" x14ac:dyDescent="0.2">
      <c r="A39" s="13"/>
      <c r="B39" s="72"/>
      <c r="G39" s="8"/>
      <c r="N39" s="32"/>
      <c r="P39" s="9"/>
    </row>
    <row r="40" spans="1:16" x14ac:dyDescent="0.2">
      <c r="A40" s="158" t="s">
        <v>160</v>
      </c>
      <c r="B40" s="158"/>
      <c r="G40" s="8"/>
      <c r="N40" s="32"/>
      <c r="P40" s="9"/>
    </row>
    <row r="41" spans="1:16" x14ac:dyDescent="0.2">
      <c r="A41" s="13" t="s">
        <v>2</v>
      </c>
      <c r="B41" s="72"/>
      <c r="G41" s="8"/>
      <c r="N41" s="32"/>
      <c r="P41" s="9"/>
    </row>
    <row r="42" spans="1:16" x14ac:dyDescent="0.2">
      <c r="A42" s="18" t="s">
        <v>161</v>
      </c>
      <c r="B42" s="19">
        <v>1</v>
      </c>
      <c r="C42" s="8">
        <f>'Quickbooks download'!M11</f>
        <v>0</v>
      </c>
      <c r="D42" s="9">
        <f>C42/$C$46</f>
        <v>0</v>
      </c>
      <c r="E42" s="8">
        <f>'Quickbooks download'!O11</f>
        <v>0</v>
      </c>
      <c r="F42" s="9">
        <f>E42/$E$46</f>
        <v>0</v>
      </c>
      <c r="G42" s="8">
        <f>'Quickbooks download'!Q11</f>
        <v>0</v>
      </c>
      <c r="H42" s="20"/>
      <c r="N42" s="32"/>
      <c r="O42" s="8">
        <f>'Quickbooks download'!AC11+'Quickbooks download'!AC8</f>
        <v>1104.97</v>
      </c>
      <c r="P42" s="9">
        <f>O42/$O$46</f>
        <v>1.2304822674896089E-2</v>
      </c>
    </row>
    <row r="43" spans="1:16" s="32" customFormat="1" x14ac:dyDescent="0.2">
      <c r="A43" s="19" t="s">
        <v>162</v>
      </c>
      <c r="B43" s="19">
        <v>2</v>
      </c>
      <c r="C43" s="20">
        <f>'Quickbooks download'!M22</f>
        <v>62519.35</v>
      </c>
      <c r="D43" s="23">
        <f t="shared" ref="D43:D46" si="11">C43/$C$46</f>
        <v>0.80802467835385094</v>
      </c>
      <c r="E43" s="20">
        <f>'Quickbooks download'!O22</f>
        <v>59250</v>
      </c>
      <c r="F43" s="23">
        <f t="shared" ref="F43:F46" si="12">E43/$E$46</f>
        <v>0.74763406940063093</v>
      </c>
      <c r="G43" s="20">
        <f>'Quickbooks download'!Q22</f>
        <v>3269.3499999999985</v>
      </c>
      <c r="H43" s="20"/>
      <c r="I43" s="20"/>
      <c r="J43" s="23"/>
      <c r="K43" s="20"/>
      <c r="L43" s="23"/>
      <c r="M43" s="20"/>
      <c r="O43" s="20">
        <f>'Quickbooks download'!AC22</f>
        <v>63560.990000000005</v>
      </c>
      <c r="P43" s="23">
        <f t="shared" ref="P43:P46" si="13">O43/$O$46</f>
        <v>0.70780809523411814</v>
      </c>
    </row>
    <row r="44" spans="1:16" x14ac:dyDescent="0.2">
      <c r="A44" s="18" t="s">
        <v>163</v>
      </c>
      <c r="B44" s="19">
        <v>3</v>
      </c>
      <c r="C44" s="8">
        <f>'Quickbooks download'!M14</f>
        <v>14721.08</v>
      </c>
      <c r="D44" s="9">
        <f t="shared" si="11"/>
        <v>0.19026103009742276</v>
      </c>
      <c r="E44" s="8">
        <f>'Quickbooks download'!O14</f>
        <v>20000</v>
      </c>
      <c r="F44" s="9">
        <f t="shared" si="12"/>
        <v>0.25236593059936907</v>
      </c>
      <c r="G44" s="8">
        <f>'Quickbooks download'!Q14</f>
        <v>-5278.92</v>
      </c>
      <c r="H44" s="20"/>
      <c r="N44" s="32"/>
      <c r="O44" s="8">
        <f>'Quickbooks download'!AC14</f>
        <v>19283.79</v>
      </c>
      <c r="P44" s="9">
        <f t="shared" si="13"/>
        <v>0.21474213458278002</v>
      </c>
    </row>
    <row r="45" spans="1:16" s="32" customFormat="1" x14ac:dyDescent="0.2">
      <c r="A45" s="83" t="s">
        <v>239</v>
      </c>
      <c r="B45" s="83"/>
      <c r="C45" s="77">
        <f>'Quickbooks download'!M25-SUM('Activities summary'!C42:C44)</f>
        <v>132.64000000001397</v>
      </c>
      <c r="D45" s="82">
        <f t="shared" si="11"/>
        <v>1.7142915487263716E-3</v>
      </c>
      <c r="E45" s="77">
        <f>'Quickbooks download'!O25-SUM('Activities summary'!E42:E44)</f>
        <v>0</v>
      </c>
      <c r="F45" s="82">
        <f t="shared" si="12"/>
        <v>0</v>
      </c>
      <c r="G45" s="77">
        <f>'Quickbooks download'!Q25-SUM('Activities summary'!G42:G44)</f>
        <v>132.64000000000851</v>
      </c>
      <c r="H45" s="77"/>
      <c r="I45" s="77"/>
      <c r="J45" s="82"/>
      <c r="K45" s="77"/>
      <c r="L45" s="82"/>
      <c r="M45" s="77"/>
      <c r="O45" s="77">
        <f>'Quickbooks download'!AC25-SUM('Activities summary'!O42:O44)</f>
        <v>5850</v>
      </c>
      <c r="P45" s="82">
        <f t="shared" si="13"/>
        <v>6.5144947508205764E-2</v>
      </c>
    </row>
    <row r="46" spans="1:16" x14ac:dyDescent="0.2">
      <c r="A46" s="21" t="s">
        <v>142</v>
      </c>
      <c r="B46" s="73"/>
      <c r="C46" s="8">
        <f>SUM(C42:C45)</f>
        <v>77373.070000000007</v>
      </c>
      <c r="D46" s="9">
        <f t="shared" si="11"/>
        <v>1</v>
      </c>
      <c r="E46" s="8">
        <f t="shared" ref="E46:G46" si="14">SUM(E42:E45)</f>
        <v>79250</v>
      </c>
      <c r="F46" s="9">
        <f t="shared" si="12"/>
        <v>1</v>
      </c>
      <c r="G46" s="8">
        <f t="shared" si="14"/>
        <v>-1876.929999999993</v>
      </c>
      <c r="H46" s="20"/>
      <c r="N46" s="32"/>
      <c r="O46" s="8">
        <f>SUM(O42:O45)</f>
        <v>89799.75</v>
      </c>
      <c r="P46" s="9">
        <f t="shared" si="13"/>
        <v>1</v>
      </c>
    </row>
    <row r="47" spans="1:16" x14ac:dyDescent="0.2">
      <c r="A47" s="21"/>
      <c r="B47" s="73"/>
      <c r="G47" s="8"/>
      <c r="N47" s="32"/>
      <c r="P47" s="9"/>
    </row>
    <row r="48" spans="1:16" x14ac:dyDescent="0.2">
      <c r="A48" s="13" t="s">
        <v>17</v>
      </c>
      <c r="B48" s="72"/>
      <c r="G48" s="8"/>
      <c r="N48" s="32"/>
      <c r="P48" s="9"/>
    </row>
    <row r="49" spans="1:16" x14ac:dyDescent="0.2">
      <c r="A49" s="18" t="s">
        <v>164</v>
      </c>
      <c r="B49" s="19">
        <v>4</v>
      </c>
      <c r="C49" s="8">
        <f>'Quickbooks download'!M39+'Quickbooks download'!M40</f>
        <v>65137.84</v>
      </c>
      <c r="D49" s="9">
        <f>C49/C$55</f>
        <v>0.59998610977807154</v>
      </c>
      <c r="E49" s="8">
        <f>'Quickbooks download'!O39+'Quickbooks download'!O40</f>
        <v>75626.58</v>
      </c>
      <c r="F49" s="9">
        <f>E49/E$55</f>
        <v>0.62370821902014251</v>
      </c>
      <c r="G49" s="8">
        <f>'Quickbooks download'!Q39+'Quickbooks download'!Q40</f>
        <v>-10488.740000000005</v>
      </c>
      <c r="H49" s="20"/>
      <c r="N49" s="32"/>
      <c r="O49" s="8">
        <f>'Quickbooks download'!AC39+'Quickbooks download'!AC40</f>
        <v>64419.240000000005</v>
      </c>
      <c r="P49" s="9">
        <f>O49/O$55</f>
        <v>0.54756539624669331</v>
      </c>
    </row>
    <row r="50" spans="1:16" s="32" customFormat="1" x14ac:dyDescent="0.2">
      <c r="A50" s="19" t="s">
        <v>165</v>
      </c>
      <c r="B50" s="19">
        <v>5</v>
      </c>
      <c r="C50" s="20">
        <f>SUM('Quickbooks download'!M41:M45)</f>
        <v>14098.539999999999</v>
      </c>
      <c r="D50" s="23">
        <f t="shared" ref="D50:D55" si="15">C50/C$55</f>
        <v>0.12986196914344308</v>
      </c>
      <c r="E50" s="20">
        <f>SUM('Quickbooks download'!O41:O45)</f>
        <v>13633.980000000001</v>
      </c>
      <c r="F50" s="23">
        <f t="shared" ref="F50" si="16">E50/E$55</f>
        <v>0.11244228396889352</v>
      </c>
      <c r="G50" s="20">
        <f>SUM('Quickbooks download'!Q41:Q45)</f>
        <v>464.55999999999983</v>
      </c>
      <c r="H50" s="20"/>
      <c r="I50" s="20"/>
      <c r="J50" s="23"/>
      <c r="K50" s="20"/>
      <c r="L50" s="23"/>
      <c r="M50" s="20"/>
      <c r="O50" s="20">
        <f>SUM('Quickbooks download'!AC41:AC45)</f>
        <v>11513.62</v>
      </c>
      <c r="P50" s="23">
        <f t="shared" ref="P50:P55" si="17">O50/O$55</f>
        <v>9.7866101766084984E-2</v>
      </c>
    </row>
    <row r="51" spans="1:16" x14ac:dyDescent="0.2">
      <c r="A51" s="18" t="s">
        <v>166</v>
      </c>
      <c r="B51" s="19">
        <v>6</v>
      </c>
      <c r="C51" s="8">
        <f>'Quickbooks download'!M75</f>
        <v>28980.36</v>
      </c>
      <c r="D51" s="9">
        <f t="shared" si="15"/>
        <v>0.26693874798992467</v>
      </c>
      <c r="E51" s="8">
        <f>'Quickbooks download'!O75</f>
        <v>27413.940000000002</v>
      </c>
      <c r="F51" s="9">
        <f t="shared" ref="F51" si="18">E51/E$55</f>
        <v>0.22608849552267268</v>
      </c>
      <c r="G51" s="8">
        <f>'Quickbooks download'!Q75</f>
        <v>1566.4199999999983</v>
      </c>
      <c r="H51" s="20"/>
      <c r="N51" s="32"/>
      <c r="O51" s="8">
        <f>'Quickbooks download'!AC75</f>
        <v>32328.49</v>
      </c>
      <c r="P51" s="9">
        <f t="shared" si="17"/>
        <v>0.27479309654859729</v>
      </c>
    </row>
    <row r="52" spans="1:16" s="32" customFormat="1" x14ac:dyDescent="0.2">
      <c r="A52" s="19" t="s">
        <v>167</v>
      </c>
      <c r="B52" s="19">
        <v>7</v>
      </c>
      <c r="C52" s="20">
        <f>SUM('Quickbooks download'!M29:M33)</f>
        <v>261.83999999999997</v>
      </c>
      <c r="D52" s="23">
        <f t="shared" si="15"/>
        <v>2.411814131145433E-3</v>
      </c>
      <c r="E52" s="20">
        <f>SUM('Quickbooks download'!O29:O33)</f>
        <v>2800</v>
      </c>
      <c r="F52" s="23">
        <f t="shared" ref="F52" si="19">E52/E$55</f>
        <v>2.3092185488969606E-2</v>
      </c>
      <c r="G52" s="20">
        <f>SUM('Quickbooks download'!Q29:Q33)</f>
        <v>-2538.16</v>
      </c>
      <c r="H52" s="20"/>
      <c r="I52" s="20"/>
      <c r="J52" s="23"/>
      <c r="K52" s="20"/>
      <c r="L52" s="23"/>
      <c r="M52" s="20"/>
      <c r="O52" s="20">
        <f>SUM('Quickbooks download'!AC29:AC33)</f>
        <v>7714.11</v>
      </c>
      <c r="P52" s="23">
        <f t="shared" si="17"/>
        <v>6.5570157282833177E-2</v>
      </c>
    </row>
    <row r="53" spans="1:16" x14ac:dyDescent="0.2">
      <c r="A53" s="18" t="s">
        <v>168</v>
      </c>
      <c r="B53" s="19">
        <v>8</v>
      </c>
      <c r="C53" s="8">
        <f>'Quickbooks download'!M37-'Activities summary'!C52</f>
        <v>87.000000000000057</v>
      </c>
      <c r="D53" s="9">
        <f t="shared" si="15"/>
        <v>8.0135895741541719E-4</v>
      </c>
      <c r="E53" s="8">
        <f>'Quickbooks download'!O37-'Activities summary'!E52</f>
        <v>1778.6399999999994</v>
      </c>
      <c r="F53" s="9">
        <f t="shared" ref="F53" si="20">E53/E$55</f>
        <v>1.4668815999321745E-2</v>
      </c>
      <c r="G53" s="8">
        <f>'Quickbooks download'!Q37-'Activities summary'!G52</f>
        <v>-1691.6399999999994</v>
      </c>
      <c r="H53" s="20"/>
      <c r="N53" s="32"/>
      <c r="O53" s="8">
        <f>'Quickbooks download'!AC37-'Activities summary'!O52</f>
        <v>1671.1999999999998</v>
      </c>
      <c r="P53" s="9">
        <f t="shared" si="17"/>
        <v>1.4205248155791246E-2</v>
      </c>
    </row>
    <row r="54" spans="1:16" s="32" customFormat="1" x14ac:dyDescent="0.2">
      <c r="A54" s="83" t="s">
        <v>169</v>
      </c>
      <c r="B54" s="83">
        <v>9</v>
      </c>
      <c r="C54" s="77">
        <f>'Quickbooks download'!M77-SUM('Activities summary'!C49:C53)</f>
        <v>0</v>
      </c>
      <c r="D54" s="82">
        <f t="shared" si="15"/>
        <v>0</v>
      </c>
      <c r="E54" s="77">
        <f>'Quickbooks download'!O77-SUM('Activities summary'!E49:E53)</f>
        <v>0</v>
      </c>
      <c r="F54" s="82">
        <f t="shared" ref="F54" si="21">E54/E$55</f>
        <v>0</v>
      </c>
      <c r="G54" s="77">
        <f>'Quickbooks download'!Q77-SUM('Activities summary'!G49:G53)</f>
        <v>0</v>
      </c>
      <c r="H54" s="77"/>
      <c r="I54" s="77"/>
      <c r="J54" s="82"/>
      <c r="K54" s="77"/>
      <c r="L54" s="82"/>
      <c r="M54" s="77"/>
      <c r="O54" s="77">
        <f>'Quickbooks download'!AC77-SUM('Activities summary'!O49:O53)</f>
        <v>0</v>
      </c>
      <c r="P54" s="82">
        <f t="shared" si="17"/>
        <v>0</v>
      </c>
    </row>
    <row r="55" spans="1:16" x14ac:dyDescent="0.2">
      <c r="A55" s="21" t="s">
        <v>143</v>
      </c>
      <c r="B55" s="73"/>
      <c r="C55" s="8">
        <f>SUM(C49:C54)</f>
        <v>108565.57999999999</v>
      </c>
      <c r="D55" s="9">
        <f t="shared" si="15"/>
        <v>1</v>
      </c>
      <c r="E55" s="8">
        <f t="shared" ref="E55:G55" si="22">SUM(E49:E54)</f>
        <v>121253.14</v>
      </c>
      <c r="F55" s="9">
        <f t="shared" ref="F55" si="23">E55/E$55</f>
        <v>1</v>
      </c>
      <c r="G55" s="8">
        <f t="shared" si="22"/>
        <v>-12687.560000000007</v>
      </c>
      <c r="H55" s="20"/>
      <c r="N55" s="32"/>
      <c r="O55" s="8">
        <f>SUM(O49:O54)</f>
        <v>117646.66</v>
      </c>
      <c r="P55" s="9">
        <f t="shared" si="17"/>
        <v>1</v>
      </c>
    </row>
    <row r="56" spans="1:16" x14ac:dyDescent="0.2">
      <c r="A56" s="21"/>
      <c r="B56" s="73"/>
      <c r="G56" s="8"/>
      <c r="N56" s="32"/>
      <c r="P56" s="9"/>
    </row>
    <row r="57" spans="1:16" s="24" customFormat="1" x14ac:dyDescent="0.2">
      <c r="A57" s="25" t="s">
        <v>144</v>
      </c>
      <c r="B57" s="74"/>
      <c r="C57" s="14">
        <f>C46-C55</f>
        <v>-31192.50999999998</v>
      </c>
      <c r="D57" s="15"/>
      <c r="E57" s="14">
        <f t="shared" ref="E57:G57" si="24">E46-E55</f>
        <v>-42003.14</v>
      </c>
      <c r="F57" s="15"/>
      <c r="G57" s="14">
        <f t="shared" si="24"/>
        <v>10810.630000000014</v>
      </c>
      <c r="H57" s="46"/>
      <c r="I57" s="14"/>
      <c r="J57" s="15"/>
      <c r="K57" s="14"/>
      <c r="L57" s="15"/>
      <c r="M57" s="14"/>
      <c r="N57" s="146"/>
      <c r="O57" s="14">
        <f>O46-O55</f>
        <v>-27846.910000000003</v>
      </c>
      <c r="P57" s="15"/>
    </row>
    <row r="58" spans="1:16" x14ac:dyDescent="0.2">
      <c r="H58" s="136"/>
    </row>
    <row r="59" spans="1:16" x14ac:dyDescent="0.2">
      <c r="A59" s="27" t="s">
        <v>285</v>
      </c>
      <c r="H59" s="136"/>
    </row>
    <row r="60" spans="1:16" x14ac:dyDescent="0.2">
      <c r="A60" s="27" t="s">
        <v>286</v>
      </c>
      <c r="H60" s="136"/>
    </row>
    <row r="61" spans="1:16" x14ac:dyDescent="0.2">
      <c r="A61" s="27" t="s">
        <v>287</v>
      </c>
      <c r="H61" s="136"/>
    </row>
    <row r="62" spans="1:16" x14ac:dyDescent="0.2">
      <c r="A62" s="27" t="s">
        <v>288</v>
      </c>
      <c r="H62" s="136"/>
    </row>
    <row r="63" spans="1:16" x14ac:dyDescent="0.2">
      <c r="H63" s="136"/>
    </row>
    <row r="64" spans="1:16" x14ac:dyDescent="0.2">
      <c r="H64" s="136"/>
    </row>
    <row r="65" spans="8:8" x14ac:dyDescent="0.2">
      <c r="H65" s="136"/>
    </row>
  </sheetData>
  <mergeCells count="12">
    <mergeCell ref="A1:P1"/>
    <mergeCell ref="A2:P2"/>
    <mergeCell ref="O4:P4"/>
    <mergeCell ref="O5:P5"/>
    <mergeCell ref="A3:P3"/>
    <mergeCell ref="I11:M13"/>
    <mergeCell ref="A40:B40"/>
    <mergeCell ref="I5:M5"/>
    <mergeCell ref="A12:B12"/>
    <mergeCell ref="C5:G5"/>
    <mergeCell ref="C4:G4"/>
    <mergeCell ref="I4:M4"/>
  </mergeCell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opLeftCell="A61" zoomScale="110" zoomScaleNormal="110" workbookViewId="0">
      <selection activeCell="C73" sqref="C73"/>
    </sheetView>
  </sheetViews>
  <sheetFormatPr defaultRowHeight="15" x14ac:dyDescent="0.25"/>
  <cols>
    <col min="1" max="1" width="32.7109375" style="4" customWidth="1"/>
    <col min="2" max="2" width="3.28515625" style="4" customWidth="1"/>
    <col min="3" max="3" width="4" style="134" customWidth="1"/>
    <col min="4" max="4" width="28.28515625" style="4" bestFit="1" customWidth="1"/>
    <col min="5" max="6" width="0" style="4" hidden="1" customWidth="1"/>
    <col min="7" max="8" width="11.140625" style="4" hidden="1" customWidth="1"/>
    <col min="9" max="9" width="0" style="4" hidden="1" customWidth="1"/>
    <col min="10" max="10" width="22.42578125" style="4" bestFit="1" customWidth="1"/>
    <col min="11" max="11" width="9" style="4" bestFit="1" customWidth="1"/>
    <col min="12" max="12" width="3.85546875" style="4" customWidth="1"/>
    <col min="13" max="16384" width="9.140625" style="4"/>
  </cols>
  <sheetData>
    <row r="1" spans="1:15" x14ac:dyDescent="0.25">
      <c r="D1" s="2"/>
      <c r="I1" s="2" t="s">
        <v>278</v>
      </c>
      <c r="J1" s="145"/>
      <c r="K1" s="2"/>
      <c r="L1" s="2"/>
      <c r="M1" s="3"/>
      <c r="N1" s="3"/>
    </row>
    <row r="2" spans="1:15" x14ac:dyDescent="0.25">
      <c r="G2" s="3" t="s">
        <v>67</v>
      </c>
      <c r="H2" s="3"/>
      <c r="K2" s="3"/>
      <c r="M2" s="3"/>
      <c r="N2" s="3"/>
    </row>
    <row r="3" spans="1:15" x14ac:dyDescent="0.25">
      <c r="E3" s="2" t="s">
        <v>0</v>
      </c>
      <c r="F3" s="2"/>
      <c r="G3" s="2" t="s">
        <v>1</v>
      </c>
      <c r="H3" s="2"/>
      <c r="K3" s="2"/>
      <c r="M3" s="2"/>
      <c r="N3" s="2"/>
      <c r="O3" s="2"/>
    </row>
    <row r="4" spans="1:15" x14ac:dyDescent="0.25">
      <c r="A4" s="2" t="s">
        <v>68</v>
      </c>
      <c r="B4" s="2"/>
      <c r="C4" s="135"/>
      <c r="D4" s="2" t="s">
        <v>68</v>
      </c>
      <c r="E4" s="5">
        <v>43190</v>
      </c>
      <c r="F4" s="5"/>
      <c r="G4" s="5">
        <v>43190</v>
      </c>
      <c r="H4" s="5"/>
      <c r="I4" s="2" t="s">
        <v>69</v>
      </c>
      <c r="K4" s="5"/>
      <c r="L4" s="2"/>
      <c r="M4" s="5"/>
      <c r="N4" s="5"/>
      <c r="O4" s="5"/>
    </row>
    <row r="6" spans="1:15" x14ac:dyDescent="0.25">
      <c r="A6" s="2" t="s">
        <v>70</v>
      </c>
      <c r="B6" s="2"/>
      <c r="C6" s="135"/>
      <c r="D6" s="2" t="s">
        <v>70</v>
      </c>
      <c r="J6" s="2" t="s">
        <v>70</v>
      </c>
      <c r="L6" s="2"/>
    </row>
    <row r="7" spans="1:15" x14ac:dyDescent="0.25">
      <c r="A7" s="2" t="s">
        <v>71</v>
      </c>
      <c r="B7" s="2">
        <v>10</v>
      </c>
      <c r="C7" s="135"/>
      <c r="D7" s="2" t="s">
        <v>71</v>
      </c>
      <c r="E7" s="133">
        <v>593578.88</v>
      </c>
      <c r="F7" s="133"/>
      <c r="G7" s="133">
        <v>604005</v>
      </c>
      <c r="H7" s="133"/>
      <c r="I7" s="133">
        <v>-10426.120000000001</v>
      </c>
      <c r="J7" s="2" t="s">
        <v>71</v>
      </c>
      <c r="K7" s="133">
        <v>495285.99</v>
      </c>
      <c r="L7" s="2"/>
      <c r="M7" s="133"/>
      <c r="N7" s="133"/>
      <c r="O7" s="133"/>
    </row>
    <row r="8" spans="1:15" x14ac:dyDescent="0.25">
      <c r="A8" s="2" t="s">
        <v>72</v>
      </c>
      <c r="B8" s="2">
        <v>12</v>
      </c>
      <c r="C8" s="135"/>
      <c r="D8" s="2" t="s">
        <v>72</v>
      </c>
      <c r="E8" s="133">
        <v>12664.07</v>
      </c>
      <c r="F8" s="133"/>
      <c r="G8" s="133">
        <v>12663</v>
      </c>
      <c r="H8" s="133"/>
      <c r="I8" s="133">
        <v>1.07</v>
      </c>
      <c r="J8" s="2" t="s">
        <v>72</v>
      </c>
      <c r="K8" s="133">
        <v>9055.9</v>
      </c>
      <c r="L8" s="2"/>
      <c r="M8" s="133"/>
      <c r="N8" s="133"/>
      <c r="O8" s="133"/>
    </row>
    <row r="9" spans="1:15" x14ac:dyDescent="0.25">
      <c r="A9" s="2" t="s">
        <v>73</v>
      </c>
      <c r="B9" s="2">
        <v>11</v>
      </c>
      <c r="C9" s="135"/>
      <c r="D9" s="2" t="s">
        <v>73</v>
      </c>
      <c r="E9" s="133">
        <v>13671</v>
      </c>
      <c r="F9" s="133"/>
      <c r="G9" s="133">
        <v>12695</v>
      </c>
      <c r="H9" s="133"/>
      <c r="I9" s="133">
        <v>976</v>
      </c>
      <c r="J9" s="2" t="s">
        <v>73</v>
      </c>
      <c r="K9" s="133">
        <v>11366.5</v>
      </c>
      <c r="L9" s="2"/>
      <c r="M9" s="133"/>
      <c r="N9" s="133"/>
      <c r="O9" s="133"/>
    </row>
    <row r="10" spans="1:15" x14ac:dyDescent="0.25">
      <c r="A10" s="2" t="s">
        <v>74</v>
      </c>
      <c r="B10" s="2">
        <v>11</v>
      </c>
      <c r="C10" s="135"/>
      <c r="D10" s="2" t="s">
        <v>74</v>
      </c>
      <c r="E10" s="133">
        <v>25825.49</v>
      </c>
      <c r="F10" s="133"/>
      <c r="G10" s="133">
        <v>25932</v>
      </c>
      <c r="H10" s="133"/>
      <c r="I10" s="133">
        <v>-106.51</v>
      </c>
      <c r="J10" s="2" t="s">
        <v>74</v>
      </c>
      <c r="K10" s="133">
        <v>24289.63</v>
      </c>
      <c r="L10" s="2"/>
      <c r="M10" s="133"/>
      <c r="N10" s="133"/>
      <c r="O10" s="133"/>
    </row>
    <row r="11" spans="1:15" x14ac:dyDescent="0.25">
      <c r="A11" s="2" t="s">
        <v>75</v>
      </c>
      <c r="B11" s="2">
        <v>11</v>
      </c>
      <c r="C11" s="135"/>
      <c r="D11" s="2" t="s">
        <v>75</v>
      </c>
      <c r="E11" s="133">
        <v>3788.23</v>
      </c>
      <c r="F11" s="133"/>
      <c r="G11" s="133">
        <v>0</v>
      </c>
      <c r="H11" s="133"/>
      <c r="I11" s="133">
        <v>3788.23</v>
      </c>
      <c r="J11" s="2" t="s">
        <v>75</v>
      </c>
      <c r="K11" s="133">
        <v>14415.69</v>
      </c>
      <c r="L11" s="2"/>
      <c r="M11" s="133"/>
      <c r="N11" s="133"/>
      <c r="O11" s="133"/>
    </row>
    <row r="12" spans="1:15" x14ac:dyDescent="0.25">
      <c r="A12" s="2" t="s">
        <v>76</v>
      </c>
      <c r="B12" s="2"/>
      <c r="C12" s="135"/>
      <c r="J12" s="2" t="s">
        <v>76</v>
      </c>
      <c r="K12" s="133">
        <v>0.14000000000000001</v>
      </c>
    </row>
    <row r="13" spans="1:15" x14ac:dyDescent="0.25">
      <c r="A13" s="2" t="s">
        <v>238</v>
      </c>
      <c r="B13" s="2">
        <v>11</v>
      </c>
      <c r="C13" s="135"/>
      <c r="D13" s="2" t="s">
        <v>241</v>
      </c>
      <c r="E13" s="133">
        <v>3537.06</v>
      </c>
      <c r="F13" s="133"/>
      <c r="G13" s="133">
        <v>820</v>
      </c>
      <c r="H13" s="133"/>
      <c r="I13" s="133">
        <v>2717.06</v>
      </c>
      <c r="L13" s="2"/>
      <c r="M13" s="133"/>
      <c r="N13" s="133"/>
      <c r="O13" s="133"/>
    </row>
    <row r="14" spans="1:15" x14ac:dyDescent="0.25">
      <c r="B14" s="2">
        <v>11</v>
      </c>
      <c r="D14" s="2" t="s">
        <v>76</v>
      </c>
      <c r="E14" s="133">
        <v>8.52</v>
      </c>
      <c r="F14" s="133"/>
      <c r="G14" s="133">
        <v>0</v>
      </c>
      <c r="H14" s="133"/>
      <c r="I14" s="133">
        <v>8.52</v>
      </c>
    </row>
    <row r="15" spans="1:15" x14ac:dyDescent="0.25">
      <c r="A15" s="2" t="s">
        <v>77</v>
      </c>
      <c r="B15" s="2"/>
      <c r="C15" s="135"/>
      <c r="D15" s="2" t="s">
        <v>77</v>
      </c>
      <c r="E15" s="133">
        <v>940.52</v>
      </c>
      <c r="F15" s="133"/>
      <c r="G15" s="133">
        <v>1500</v>
      </c>
      <c r="H15" s="133"/>
      <c r="I15" s="133">
        <v>-559.48</v>
      </c>
      <c r="J15" s="2" t="s">
        <v>77</v>
      </c>
      <c r="K15" s="133">
        <v>2117.4899999999998</v>
      </c>
      <c r="L15" s="2"/>
      <c r="M15" s="133"/>
      <c r="N15" s="133"/>
      <c r="O15" s="133"/>
    </row>
    <row r="16" spans="1:15" x14ac:dyDescent="0.25">
      <c r="C16" s="135"/>
      <c r="L16" s="2"/>
      <c r="M16" s="133"/>
      <c r="N16" s="133"/>
      <c r="O16" s="133"/>
    </row>
    <row r="17" spans="1:15" x14ac:dyDescent="0.25">
      <c r="A17" s="2" t="s">
        <v>78</v>
      </c>
      <c r="B17" s="2"/>
      <c r="C17" s="135"/>
      <c r="D17" s="2" t="s">
        <v>78</v>
      </c>
      <c r="E17" s="133">
        <v>425.2</v>
      </c>
      <c r="F17" s="133"/>
      <c r="G17" s="133">
        <v>423</v>
      </c>
      <c r="H17" s="133"/>
      <c r="I17" s="133">
        <v>2.2000000000000002</v>
      </c>
      <c r="J17" s="2" t="s">
        <v>78</v>
      </c>
      <c r="K17" s="133">
        <v>540.9</v>
      </c>
      <c r="L17" s="2"/>
      <c r="M17" s="133"/>
      <c r="N17" s="133"/>
      <c r="O17" s="133"/>
    </row>
    <row r="18" spans="1:15" x14ac:dyDescent="0.25">
      <c r="A18" s="2" t="s">
        <v>79</v>
      </c>
      <c r="B18" s="2"/>
      <c r="C18" s="135"/>
      <c r="D18" s="2" t="s">
        <v>79</v>
      </c>
      <c r="E18" s="133">
        <v>177.6</v>
      </c>
      <c r="F18" s="133"/>
      <c r="G18" s="133">
        <v>81</v>
      </c>
      <c r="H18" s="133"/>
      <c r="I18" s="133">
        <v>96.6</v>
      </c>
      <c r="J18" s="2" t="s">
        <v>79</v>
      </c>
      <c r="K18" s="133">
        <v>58.53</v>
      </c>
      <c r="L18" s="2"/>
      <c r="M18" s="133"/>
      <c r="N18" s="133"/>
      <c r="O18" s="133"/>
    </row>
    <row r="19" spans="1:15" x14ac:dyDescent="0.25">
      <c r="A19" s="2" t="s">
        <v>150</v>
      </c>
      <c r="B19" s="2">
        <v>9</v>
      </c>
      <c r="C19" s="135"/>
    </row>
    <row r="20" spans="1:15" x14ac:dyDescent="0.25">
      <c r="A20" s="2" t="s">
        <v>80</v>
      </c>
      <c r="B20" s="2"/>
      <c r="C20" s="135"/>
      <c r="D20" s="2" t="s">
        <v>80</v>
      </c>
      <c r="E20" s="133">
        <v>1200</v>
      </c>
      <c r="F20" s="133"/>
      <c r="G20" s="133">
        <v>2757</v>
      </c>
      <c r="H20" s="133"/>
      <c r="I20" s="133">
        <v>-1557</v>
      </c>
      <c r="J20" s="2" t="s">
        <v>80</v>
      </c>
      <c r="K20" s="133">
        <v>3200</v>
      </c>
      <c r="L20" s="2"/>
      <c r="M20" s="133"/>
      <c r="N20" s="133"/>
      <c r="O20" s="133"/>
    </row>
    <row r="21" spans="1:15" x14ac:dyDescent="0.25">
      <c r="A21" s="2" t="s">
        <v>81</v>
      </c>
      <c r="B21" s="2">
        <v>11</v>
      </c>
      <c r="C21" s="135"/>
    </row>
    <row r="22" spans="1:15" x14ac:dyDescent="0.25">
      <c r="A22" s="2" t="s">
        <v>82</v>
      </c>
      <c r="B22" s="2"/>
      <c r="D22" s="2" t="s">
        <v>82</v>
      </c>
      <c r="E22" s="133">
        <v>14059.34</v>
      </c>
      <c r="F22" s="133"/>
      <c r="G22" s="133">
        <v>6900</v>
      </c>
      <c r="H22" s="133"/>
      <c r="I22" s="133">
        <v>7159.34</v>
      </c>
      <c r="J22" s="2" t="s">
        <v>82</v>
      </c>
      <c r="K22" s="133">
        <v>5.03</v>
      </c>
      <c r="L22" s="2"/>
      <c r="M22" s="133"/>
      <c r="N22" s="133"/>
      <c r="O22" s="133"/>
    </row>
    <row r="23" spans="1:15" x14ac:dyDescent="0.25">
      <c r="C23" s="135"/>
    </row>
    <row r="24" spans="1:15" x14ac:dyDescent="0.25">
      <c r="A24" s="2" t="s">
        <v>83</v>
      </c>
      <c r="B24" s="2"/>
      <c r="D24" s="2" t="s">
        <v>83</v>
      </c>
      <c r="E24" s="133">
        <v>669875.91</v>
      </c>
      <c r="F24" s="133"/>
      <c r="G24" s="133">
        <v>667776</v>
      </c>
      <c r="H24" s="133"/>
      <c r="I24" s="133">
        <v>2099.91</v>
      </c>
      <c r="J24" s="2" t="s">
        <v>83</v>
      </c>
      <c r="K24" s="133">
        <v>560335.80000000005</v>
      </c>
      <c r="L24" s="2"/>
      <c r="M24" s="133"/>
      <c r="N24" s="133"/>
      <c r="O24" s="133"/>
    </row>
    <row r="25" spans="1:15" x14ac:dyDescent="0.25">
      <c r="C25" s="135"/>
    </row>
    <row r="26" spans="1:15" x14ac:dyDescent="0.25">
      <c r="A26" s="2" t="s">
        <v>84</v>
      </c>
      <c r="B26" s="2"/>
      <c r="C26" s="135"/>
      <c r="D26" s="2" t="s">
        <v>84</v>
      </c>
      <c r="J26" s="2" t="s">
        <v>84</v>
      </c>
      <c r="L26" s="2"/>
    </row>
    <row r="27" spans="1:15" x14ac:dyDescent="0.25">
      <c r="A27" s="2" t="s">
        <v>85</v>
      </c>
      <c r="B27" s="2">
        <v>14</v>
      </c>
      <c r="C27" s="135" t="s">
        <v>240</v>
      </c>
      <c r="D27" s="2" t="s">
        <v>85</v>
      </c>
      <c r="E27" s="133">
        <v>31691.73</v>
      </c>
      <c r="F27" s="133"/>
      <c r="G27" s="133">
        <v>33663</v>
      </c>
      <c r="H27" s="133"/>
      <c r="I27" s="133">
        <v>1971.27</v>
      </c>
      <c r="J27" s="2" t="s">
        <v>85</v>
      </c>
      <c r="K27" s="133">
        <v>34112.410000000003</v>
      </c>
      <c r="L27" s="2"/>
      <c r="M27" s="133"/>
      <c r="N27" s="133"/>
      <c r="O27" s="133"/>
    </row>
    <row r="28" spans="1:15" x14ac:dyDescent="0.25">
      <c r="A28" s="2" t="s">
        <v>86</v>
      </c>
      <c r="B28" s="2">
        <v>15</v>
      </c>
      <c r="C28" s="135" t="s">
        <v>240</v>
      </c>
      <c r="D28" s="2" t="s">
        <v>86</v>
      </c>
      <c r="E28" s="133">
        <v>0</v>
      </c>
      <c r="F28" s="133"/>
      <c r="G28" s="133">
        <v>11205</v>
      </c>
      <c r="H28" s="133"/>
      <c r="I28" s="133">
        <v>11205</v>
      </c>
    </row>
    <row r="29" spans="1:15" x14ac:dyDescent="0.25">
      <c r="A29" s="2" t="s">
        <v>87</v>
      </c>
      <c r="B29" s="2">
        <v>15</v>
      </c>
      <c r="C29" s="135" t="s">
        <v>240</v>
      </c>
      <c r="D29" s="2" t="s">
        <v>87</v>
      </c>
      <c r="E29" s="133">
        <v>72001.64</v>
      </c>
      <c r="F29" s="133"/>
      <c r="G29" s="133">
        <v>72453</v>
      </c>
      <c r="H29" s="133"/>
      <c r="I29" s="133">
        <v>451.36</v>
      </c>
      <c r="J29" s="2" t="s">
        <v>87</v>
      </c>
      <c r="K29" s="133">
        <v>66622.25</v>
      </c>
      <c r="L29" s="2"/>
      <c r="M29" s="133"/>
      <c r="N29" s="133"/>
      <c r="O29" s="133"/>
    </row>
    <row r="30" spans="1:15" x14ac:dyDescent="0.25">
      <c r="A30" s="2" t="s">
        <v>88</v>
      </c>
      <c r="B30" s="2">
        <v>15</v>
      </c>
      <c r="C30" s="135" t="s">
        <v>240</v>
      </c>
      <c r="D30" s="2" t="s">
        <v>88</v>
      </c>
      <c r="E30" s="133">
        <v>0</v>
      </c>
      <c r="F30" s="133"/>
      <c r="G30" s="133">
        <v>109</v>
      </c>
      <c r="H30" s="133"/>
      <c r="I30" s="133">
        <v>109</v>
      </c>
      <c r="J30" s="2" t="s">
        <v>88</v>
      </c>
      <c r="K30" s="133">
        <v>317.92</v>
      </c>
      <c r="L30" s="2"/>
      <c r="M30" s="133"/>
      <c r="N30" s="133"/>
      <c r="O30" s="133"/>
    </row>
    <row r="31" spans="1:15" x14ac:dyDescent="0.25">
      <c r="A31" s="2" t="s">
        <v>89</v>
      </c>
      <c r="B31" s="2">
        <v>16</v>
      </c>
      <c r="C31" s="135" t="s">
        <v>240</v>
      </c>
      <c r="D31" s="2" t="s">
        <v>89</v>
      </c>
      <c r="E31" s="133">
        <v>7072.42</v>
      </c>
      <c r="F31" s="133"/>
      <c r="G31" s="133">
        <v>7693</v>
      </c>
      <c r="H31" s="133"/>
      <c r="I31" s="133">
        <v>620.58000000000004</v>
      </c>
      <c r="J31" s="2" t="s">
        <v>89</v>
      </c>
      <c r="K31" s="133">
        <v>6642.58</v>
      </c>
      <c r="L31" s="2"/>
      <c r="M31" s="133"/>
      <c r="N31" s="133"/>
      <c r="O31" s="133"/>
    </row>
    <row r="32" spans="1:15" x14ac:dyDescent="0.25">
      <c r="A32" s="2" t="s">
        <v>90</v>
      </c>
      <c r="B32" s="2">
        <v>16</v>
      </c>
      <c r="C32" s="135" t="s">
        <v>240</v>
      </c>
      <c r="D32" s="2" t="s">
        <v>90</v>
      </c>
      <c r="E32" s="133">
        <v>265.10000000000002</v>
      </c>
      <c r="F32" s="133"/>
      <c r="G32" s="133">
        <v>304</v>
      </c>
      <c r="H32" s="133"/>
      <c r="I32" s="133">
        <v>38.9</v>
      </c>
      <c r="J32" s="2" t="s">
        <v>90</v>
      </c>
      <c r="K32" s="133">
        <v>880.64</v>
      </c>
      <c r="L32" s="2"/>
      <c r="M32" s="133"/>
      <c r="N32" s="133"/>
      <c r="O32" s="133"/>
    </row>
    <row r="33" spans="1:15" x14ac:dyDescent="0.25">
      <c r="A33" s="2" t="s">
        <v>91</v>
      </c>
      <c r="B33" s="2">
        <v>16</v>
      </c>
      <c r="C33" s="135" t="s">
        <v>240</v>
      </c>
      <c r="D33" s="2" t="s">
        <v>91</v>
      </c>
      <c r="E33" s="133">
        <v>5005.32</v>
      </c>
      <c r="F33" s="133"/>
      <c r="G33" s="133">
        <v>2705</v>
      </c>
      <c r="H33" s="133"/>
      <c r="I33" s="133">
        <v>-2300.3200000000002</v>
      </c>
      <c r="J33" s="2" t="s">
        <v>91</v>
      </c>
      <c r="K33" s="133">
        <v>5219.88</v>
      </c>
      <c r="L33" s="2"/>
      <c r="M33" s="133"/>
      <c r="N33" s="133"/>
      <c r="O33" s="133"/>
    </row>
    <row r="34" spans="1:15" x14ac:dyDescent="0.25">
      <c r="A34" s="2" t="s">
        <v>92</v>
      </c>
      <c r="B34" s="2">
        <v>16</v>
      </c>
      <c r="C34" s="135" t="s">
        <v>240</v>
      </c>
      <c r="J34" s="2" t="s">
        <v>92</v>
      </c>
      <c r="K34" s="133">
        <v>0</v>
      </c>
      <c r="L34" s="2"/>
      <c r="M34" s="133"/>
      <c r="N34" s="133"/>
      <c r="O34" s="133"/>
    </row>
    <row r="35" spans="1:15" x14ac:dyDescent="0.25">
      <c r="A35" s="2" t="s">
        <v>93</v>
      </c>
      <c r="B35" s="2">
        <v>16</v>
      </c>
      <c r="C35" s="135" t="s">
        <v>240</v>
      </c>
      <c r="D35" s="2" t="s">
        <v>93</v>
      </c>
      <c r="E35" s="133">
        <v>14486.66</v>
      </c>
      <c r="F35" s="133"/>
      <c r="G35" s="133">
        <v>15000</v>
      </c>
      <c r="H35" s="133"/>
      <c r="I35" s="133">
        <v>513.34</v>
      </c>
      <c r="J35" s="2" t="s">
        <v>93</v>
      </c>
      <c r="K35" s="133">
        <v>14538.9</v>
      </c>
      <c r="L35" s="2"/>
      <c r="M35" s="133"/>
      <c r="N35" s="133"/>
      <c r="O35" s="133"/>
    </row>
    <row r="36" spans="1:15" x14ac:dyDescent="0.25">
      <c r="A36" s="2" t="s">
        <v>94</v>
      </c>
      <c r="B36" s="2">
        <v>16</v>
      </c>
      <c r="C36" s="135" t="s">
        <v>240</v>
      </c>
      <c r="D36" s="2" t="s">
        <v>94</v>
      </c>
      <c r="E36" s="133">
        <v>709.57</v>
      </c>
      <c r="F36" s="133"/>
      <c r="G36" s="133">
        <v>1256</v>
      </c>
      <c r="H36" s="133"/>
      <c r="I36" s="133">
        <v>546.42999999999995</v>
      </c>
      <c r="J36" s="2" t="s">
        <v>94</v>
      </c>
      <c r="K36" s="133">
        <v>435.07</v>
      </c>
      <c r="L36" s="2"/>
      <c r="M36" s="133"/>
      <c r="N36" s="133"/>
      <c r="O36" s="133"/>
    </row>
    <row r="37" spans="1:15" x14ac:dyDescent="0.25">
      <c r="A37" s="2" t="s">
        <v>95</v>
      </c>
      <c r="B37" s="2">
        <v>16</v>
      </c>
      <c r="C37" s="135" t="s">
        <v>240</v>
      </c>
      <c r="D37" s="2" t="s">
        <v>95</v>
      </c>
      <c r="E37" s="133">
        <v>39.36</v>
      </c>
      <c r="F37" s="133"/>
      <c r="G37" s="133">
        <v>0</v>
      </c>
      <c r="H37" s="133"/>
      <c r="I37" s="133">
        <v>-39.36</v>
      </c>
      <c r="J37" s="2" t="s">
        <v>95</v>
      </c>
      <c r="K37" s="133">
        <v>39.36</v>
      </c>
      <c r="L37" s="2"/>
      <c r="M37" s="133"/>
      <c r="N37" s="133"/>
      <c r="O37" s="133"/>
    </row>
    <row r="38" spans="1:15" x14ac:dyDescent="0.25">
      <c r="A38" s="2" t="s">
        <v>96</v>
      </c>
      <c r="B38" s="2">
        <v>16</v>
      </c>
      <c r="C38" s="135" t="s">
        <v>240</v>
      </c>
      <c r="D38" s="2" t="s">
        <v>96</v>
      </c>
      <c r="E38" s="133">
        <v>921.8</v>
      </c>
      <c r="F38" s="133"/>
      <c r="G38" s="133">
        <v>883</v>
      </c>
      <c r="H38" s="133"/>
      <c r="I38" s="133">
        <v>-38.799999999999997</v>
      </c>
      <c r="J38" s="2" t="s">
        <v>96</v>
      </c>
      <c r="K38" s="133">
        <v>996.91</v>
      </c>
      <c r="L38" s="2"/>
      <c r="M38" s="133"/>
      <c r="N38" s="133"/>
      <c r="O38" s="133"/>
    </row>
    <row r="39" spans="1:15" x14ac:dyDescent="0.25">
      <c r="A39" s="2" t="s">
        <v>97</v>
      </c>
      <c r="B39" s="2">
        <v>16</v>
      </c>
      <c r="C39" s="135" t="s">
        <v>240</v>
      </c>
      <c r="D39" s="2" t="s">
        <v>97</v>
      </c>
      <c r="E39" s="133">
        <v>1241.76</v>
      </c>
      <c r="F39" s="133"/>
      <c r="G39" s="133">
        <v>1408</v>
      </c>
      <c r="H39" s="133"/>
      <c r="I39" s="133">
        <v>166.24</v>
      </c>
      <c r="J39" s="2" t="s">
        <v>97</v>
      </c>
      <c r="K39" s="133">
        <v>1207.44</v>
      </c>
      <c r="L39" s="2"/>
      <c r="M39" s="133"/>
      <c r="N39" s="133"/>
      <c r="O39" s="133"/>
    </row>
    <row r="40" spans="1:15" x14ac:dyDescent="0.25">
      <c r="A40" s="2" t="s">
        <v>98</v>
      </c>
      <c r="B40" s="2">
        <v>24</v>
      </c>
      <c r="C40" s="135" t="s">
        <v>240</v>
      </c>
      <c r="D40" s="2" t="s">
        <v>98</v>
      </c>
      <c r="E40" s="133">
        <v>1636.26</v>
      </c>
      <c r="F40" s="133"/>
      <c r="G40" s="133">
        <v>1256</v>
      </c>
      <c r="H40" s="133"/>
      <c r="I40" s="133">
        <v>-380.26</v>
      </c>
      <c r="J40" s="2" t="s">
        <v>98</v>
      </c>
      <c r="K40" s="133">
        <v>1644.83</v>
      </c>
      <c r="L40" s="2"/>
      <c r="M40" s="133"/>
      <c r="N40" s="133"/>
      <c r="O40" s="133"/>
    </row>
    <row r="41" spans="1:15" x14ac:dyDescent="0.25">
      <c r="A41" s="2" t="s">
        <v>99</v>
      </c>
      <c r="B41" s="2">
        <v>16</v>
      </c>
      <c r="C41" s="135" t="s">
        <v>240</v>
      </c>
      <c r="D41" s="2" t="s">
        <v>99</v>
      </c>
      <c r="E41" s="133">
        <v>3202.69</v>
      </c>
      <c r="F41" s="133"/>
      <c r="G41" s="133">
        <v>1125</v>
      </c>
      <c r="H41" s="133"/>
      <c r="I41" s="133">
        <v>-2077.69</v>
      </c>
      <c r="J41" s="2" t="s">
        <v>99</v>
      </c>
      <c r="K41" s="133">
        <v>1305.32</v>
      </c>
      <c r="L41" s="2"/>
      <c r="M41" s="133"/>
      <c r="N41" s="133"/>
      <c r="O41" s="133"/>
    </row>
    <row r="42" spans="1:15" x14ac:dyDescent="0.25">
      <c r="A42" s="2" t="s">
        <v>100</v>
      </c>
      <c r="B42" s="2">
        <v>17</v>
      </c>
      <c r="C42" s="135" t="s">
        <v>240</v>
      </c>
      <c r="D42" s="2" t="s">
        <v>100</v>
      </c>
      <c r="E42" s="133">
        <v>0</v>
      </c>
      <c r="F42" s="133"/>
      <c r="G42" s="133">
        <v>5006</v>
      </c>
      <c r="H42" s="133"/>
      <c r="I42" s="133">
        <v>5006</v>
      </c>
      <c r="J42" s="2" t="s">
        <v>100</v>
      </c>
      <c r="K42" s="133">
        <v>3617.42</v>
      </c>
      <c r="L42" s="2"/>
      <c r="M42" s="133"/>
      <c r="N42" s="133"/>
      <c r="O42" s="133"/>
    </row>
    <row r="43" spans="1:15" x14ac:dyDescent="0.25">
      <c r="A43" s="2" t="s">
        <v>101</v>
      </c>
      <c r="B43" s="2">
        <v>17</v>
      </c>
      <c r="C43" s="135" t="s">
        <v>240</v>
      </c>
      <c r="D43" s="2" t="s">
        <v>101</v>
      </c>
      <c r="E43" s="133">
        <v>311.05</v>
      </c>
      <c r="F43" s="133"/>
      <c r="G43" s="133">
        <v>685</v>
      </c>
      <c r="H43" s="133"/>
      <c r="I43" s="133">
        <v>373.95</v>
      </c>
      <c r="J43" s="2" t="s">
        <v>101</v>
      </c>
      <c r="K43" s="133">
        <v>862.66</v>
      </c>
      <c r="L43" s="2"/>
      <c r="M43" s="133"/>
      <c r="N43" s="133"/>
      <c r="O43" s="133"/>
    </row>
    <row r="44" spans="1:15" x14ac:dyDescent="0.25">
      <c r="A44" s="2" t="s">
        <v>102</v>
      </c>
      <c r="B44" s="2">
        <v>17</v>
      </c>
      <c r="C44" s="135" t="s">
        <v>240</v>
      </c>
      <c r="D44" s="2" t="s">
        <v>102</v>
      </c>
      <c r="E44" s="133">
        <v>6.38</v>
      </c>
      <c r="F44" s="133"/>
      <c r="G44" s="133">
        <v>0</v>
      </c>
      <c r="H44" s="133"/>
      <c r="I44" s="133">
        <v>-6.38</v>
      </c>
      <c r="J44" s="2" t="s">
        <v>102</v>
      </c>
      <c r="K44" s="133">
        <v>158.36000000000001</v>
      </c>
      <c r="L44" s="2"/>
      <c r="M44" s="133"/>
      <c r="N44" s="133"/>
      <c r="O44" s="133"/>
    </row>
    <row r="45" spans="1:15" x14ac:dyDescent="0.25">
      <c r="A45" s="2" t="s">
        <v>103</v>
      </c>
      <c r="B45" s="2">
        <v>17</v>
      </c>
      <c r="C45" s="135" t="s">
        <v>240</v>
      </c>
      <c r="D45" s="2" t="s">
        <v>103</v>
      </c>
      <c r="E45" s="133">
        <v>0</v>
      </c>
      <c r="F45" s="133"/>
      <c r="G45" s="133">
        <v>7</v>
      </c>
      <c r="H45" s="133"/>
      <c r="I45" s="133">
        <v>7</v>
      </c>
      <c r="J45" s="2" t="s">
        <v>103</v>
      </c>
      <c r="K45" s="133">
        <v>0</v>
      </c>
      <c r="L45" s="2"/>
      <c r="M45" s="133"/>
      <c r="N45" s="133"/>
      <c r="O45" s="133"/>
    </row>
    <row r="46" spans="1:15" x14ac:dyDescent="0.25">
      <c r="A46" s="2" t="s">
        <v>104</v>
      </c>
      <c r="B46" s="2">
        <v>17</v>
      </c>
      <c r="C46" s="135" t="s">
        <v>240</v>
      </c>
      <c r="D46" s="2" t="s">
        <v>104</v>
      </c>
      <c r="E46" s="133">
        <v>2258.67</v>
      </c>
      <c r="F46" s="133"/>
      <c r="G46" s="133">
        <v>3750</v>
      </c>
      <c r="H46" s="133"/>
      <c r="I46" s="133">
        <v>1491.33</v>
      </c>
      <c r="J46" s="2" t="s">
        <v>104</v>
      </c>
      <c r="K46" s="133">
        <v>1371.99</v>
      </c>
      <c r="L46" s="2"/>
      <c r="M46" s="133"/>
      <c r="N46" s="133"/>
      <c r="O46" s="133"/>
    </row>
    <row r="47" spans="1:15" x14ac:dyDescent="0.25">
      <c r="A47" s="2" t="s">
        <v>105</v>
      </c>
      <c r="B47" s="2">
        <v>23</v>
      </c>
      <c r="C47" s="135" t="s">
        <v>240</v>
      </c>
      <c r="D47" s="2" t="s">
        <v>105</v>
      </c>
      <c r="E47" s="133">
        <v>1823.63</v>
      </c>
      <c r="F47" s="133"/>
      <c r="G47" s="133">
        <v>1200</v>
      </c>
      <c r="H47" s="133"/>
      <c r="I47" s="133">
        <v>-623.63</v>
      </c>
      <c r="J47" s="2" t="s">
        <v>105</v>
      </c>
      <c r="K47" s="133">
        <v>32.049999999999997</v>
      </c>
      <c r="L47" s="2"/>
      <c r="M47" s="133"/>
      <c r="N47" s="133"/>
      <c r="O47" s="133"/>
    </row>
    <row r="48" spans="1:15" x14ac:dyDescent="0.25">
      <c r="A48" s="2" t="s">
        <v>106</v>
      </c>
      <c r="B48" s="2">
        <v>17</v>
      </c>
      <c r="C48" s="135" t="s">
        <v>240</v>
      </c>
      <c r="D48" s="2" t="s">
        <v>106</v>
      </c>
      <c r="E48" s="133">
        <v>2959.94</v>
      </c>
      <c r="F48" s="133"/>
      <c r="G48" s="133">
        <v>2814</v>
      </c>
      <c r="H48" s="133"/>
      <c r="I48" s="133">
        <v>-145.94</v>
      </c>
      <c r="J48" s="2" t="s">
        <v>106</v>
      </c>
      <c r="K48" s="133">
        <v>2019.07</v>
      </c>
      <c r="L48" s="2"/>
      <c r="M48" s="133"/>
      <c r="N48" s="133"/>
      <c r="O48" s="133"/>
    </row>
    <row r="49" spans="1:15" x14ac:dyDescent="0.25">
      <c r="A49" s="2" t="s">
        <v>107</v>
      </c>
      <c r="B49" s="2">
        <v>17</v>
      </c>
      <c r="C49" s="135" t="s">
        <v>240</v>
      </c>
      <c r="D49" s="2" t="s">
        <v>107</v>
      </c>
      <c r="E49" s="133">
        <v>551.48</v>
      </c>
      <c r="F49" s="133"/>
      <c r="G49" s="133">
        <v>750</v>
      </c>
      <c r="H49" s="133"/>
      <c r="I49" s="133">
        <v>198.52</v>
      </c>
      <c r="J49" s="2" t="s">
        <v>107</v>
      </c>
      <c r="K49" s="133">
        <v>515.12</v>
      </c>
      <c r="L49" s="2"/>
      <c r="M49" s="133"/>
      <c r="N49" s="133"/>
      <c r="O49" s="133"/>
    </row>
    <row r="50" spans="1:15" x14ac:dyDescent="0.25">
      <c r="A50" s="2" t="s">
        <v>108</v>
      </c>
      <c r="B50" s="2">
        <v>17</v>
      </c>
      <c r="C50" s="135" t="s">
        <v>240</v>
      </c>
      <c r="D50" s="2" t="s">
        <v>108</v>
      </c>
      <c r="E50" s="133">
        <v>289.58999999999997</v>
      </c>
      <c r="F50" s="133"/>
      <c r="G50" s="133">
        <v>189</v>
      </c>
      <c r="H50" s="133"/>
      <c r="I50" s="133">
        <v>-100.59</v>
      </c>
      <c r="J50" s="2" t="s">
        <v>108</v>
      </c>
      <c r="K50" s="133">
        <v>318.07</v>
      </c>
      <c r="L50" s="2"/>
      <c r="M50" s="133"/>
      <c r="N50" s="133"/>
      <c r="O50" s="133"/>
    </row>
    <row r="51" spans="1:15" x14ac:dyDescent="0.25">
      <c r="A51" s="2" t="s">
        <v>109</v>
      </c>
      <c r="B51" s="2">
        <v>17</v>
      </c>
      <c r="C51" s="135" t="s">
        <v>240</v>
      </c>
      <c r="D51" s="2" t="s">
        <v>109</v>
      </c>
      <c r="E51" s="133">
        <v>3799.72</v>
      </c>
      <c r="F51" s="133"/>
      <c r="G51" s="133">
        <v>934</v>
      </c>
      <c r="H51" s="133"/>
      <c r="I51" s="133">
        <v>-2865.72</v>
      </c>
      <c r="J51" s="2" t="s">
        <v>109</v>
      </c>
      <c r="K51" s="133">
        <v>573.21</v>
      </c>
      <c r="L51" s="2"/>
      <c r="M51" s="133"/>
      <c r="N51" s="133"/>
      <c r="O51" s="133"/>
    </row>
    <row r="52" spans="1:15" x14ac:dyDescent="0.25">
      <c r="A52" s="2" t="s">
        <v>110</v>
      </c>
      <c r="B52" s="2">
        <v>22</v>
      </c>
      <c r="C52" s="135" t="s">
        <v>240</v>
      </c>
      <c r="D52" s="2" t="s">
        <v>110</v>
      </c>
      <c r="E52" s="133">
        <v>43338.78</v>
      </c>
      <c r="F52" s="133"/>
      <c r="G52" s="133">
        <v>20006</v>
      </c>
      <c r="H52" s="133"/>
      <c r="I52" s="133">
        <v>-23332.78</v>
      </c>
      <c r="J52" s="2" t="s">
        <v>110</v>
      </c>
      <c r="K52" s="133">
        <v>8426.11</v>
      </c>
      <c r="L52" s="2"/>
      <c r="M52" s="133"/>
      <c r="N52" s="133"/>
      <c r="O52" s="133"/>
    </row>
    <row r="53" spans="1:15" x14ac:dyDescent="0.25">
      <c r="A53" s="2" t="s">
        <v>279</v>
      </c>
      <c r="B53" s="2">
        <v>27</v>
      </c>
      <c r="C53" s="135" t="s">
        <v>240</v>
      </c>
      <c r="D53" s="2" t="s">
        <v>279</v>
      </c>
      <c r="E53" s="133">
        <v>0</v>
      </c>
      <c r="F53" s="133"/>
      <c r="G53" s="133">
        <v>12506</v>
      </c>
      <c r="H53" s="133"/>
      <c r="I53" s="133">
        <v>12506</v>
      </c>
      <c r="L53" s="2"/>
      <c r="M53" s="133"/>
      <c r="N53" s="133"/>
      <c r="O53" s="133"/>
    </row>
    <row r="54" spans="1:15" x14ac:dyDescent="0.25">
      <c r="A54" s="2" t="s">
        <v>111</v>
      </c>
      <c r="B54" s="2">
        <v>22</v>
      </c>
      <c r="C54" s="135" t="s">
        <v>240</v>
      </c>
      <c r="J54" s="2" t="s">
        <v>111</v>
      </c>
      <c r="K54" s="133">
        <v>767.75</v>
      </c>
    </row>
    <row r="55" spans="1:15" x14ac:dyDescent="0.25">
      <c r="A55" s="2" t="s">
        <v>112</v>
      </c>
      <c r="B55" s="2">
        <v>22</v>
      </c>
      <c r="C55" s="135" t="s">
        <v>240</v>
      </c>
      <c r="J55" s="2" t="s">
        <v>112</v>
      </c>
      <c r="K55" s="133">
        <v>3348.31</v>
      </c>
      <c r="L55" s="2"/>
      <c r="M55" s="133"/>
      <c r="N55" s="133"/>
      <c r="O55" s="133"/>
    </row>
    <row r="56" spans="1:15" x14ac:dyDescent="0.25">
      <c r="A56" s="2" t="s">
        <v>113</v>
      </c>
      <c r="B56" s="2">
        <v>22</v>
      </c>
      <c r="C56" s="135" t="s">
        <v>240</v>
      </c>
      <c r="J56" s="2" t="s">
        <v>113</v>
      </c>
      <c r="K56" s="133">
        <v>3676.74</v>
      </c>
      <c r="L56" s="2"/>
      <c r="M56" s="133"/>
      <c r="N56" s="133"/>
      <c r="O56" s="133"/>
    </row>
    <row r="57" spans="1:15" x14ac:dyDescent="0.25">
      <c r="A57" s="2" t="s">
        <v>114</v>
      </c>
      <c r="B57" s="2">
        <v>22</v>
      </c>
      <c r="C57" s="135" t="s">
        <v>240</v>
      </c>
      <c r="D57" s="2" t="s">
        <v>114</v>
      </c>
      <c r="E57" s="133">
        <v>5891.15</v>
      </c>
      <c r="F57" s="133"/>
      <c r="G57" s="133">
        <v>12506</v>
      </c>
      <c r="H57" s="133"/>
      <c r="I57" s="133">
        <v>6614.85</v>
      </c>
      <c r="J57" s="2" t="s">
        <v>114</v>
      </c>
      <c r="K57" s="133">
        <v>4040.6</v>
      </c>
      <c r="L57" s="2"/>
      <c r="M57" s="133"/>
      <c r="N57" s="133"/>
      <c r="O57" s="133"/>
    </row>
    <row r="58" spans="1:15" x14ac:dyDescent="0.25">
      <c r="A58" s="2" t="s">
        <v>115</v>
      </c>
      <c r="B58" s="2">
        <v>22</v>
      </c>
      <c r="C58" s="135" t="s">
        <v>240</v>
      </c>
      <c r="D58" s="2" t="s">
        <v>115</v>
      </c>
      <c r="E58" s="133">
        <v>16670.47</v>
      </c>
      <c r="F58" s="133"/>
      <c r="G58" s="133">
        <v>13753</v>
      </c>
      <c r="H58" s="133"/>
      <c r="I58" s="133">
        <v>-2917.47</v>
      </c>
      <c r="J58" s="2" t="s">
        <v>115</v>
      </c>
      <c r="K58" s="133">
        <v>4940.22</v>
      </c>
      <c r="L58" s="2"/>
      <c r="M58" s="133"/>
      <c r="N58" s="133"/>
      <c r="O58" s="133"/>
    </row>
    <row r="59" spans="1:15" x14ac:dyDescent="0.25">
      <c r="A59" s="2" t="s">
        <v>116</v>
      </c>
      <c r="B59" s="2">
        <v>22</v>
      </c>
      <c r="C59" s="135" t="s">
        <v>240</v>
      </c>
      <c r="D59" s="2" t="s">
        <v>116</v>
      </c>
      <c r="E59" s="133">
        <v>0</v>
      </c>
      <c r="F59" s="133"/>
      <c r="G59" s="133">
        <v>253</v>
      </c>
      <c r="H59" s="133"/>
      <c r="I59" s="133">
        <v>253</v>
      </c>
      <c r="L59" s="2"/>
      <c r="M59" s="133"/>
      <c r="N59" s="133"/>
      <c r="O59" s="133"/>
    </row>
    <row r="60" spans="1:15" x14ac:dyDescent="0.25">
      <c r="A60" s="2" t="s">
        <v>117</v>
      </c>
      <c r="B60" s="2">
        <v>22</v>
      </c>
      <c r="C60" s="135" t="s">
        <v>240</v>
      </c>
      <c r="D60" s="2" t="s">
        <v>117</v>
      </c>
      <c r="E60" s="133">
        <v>463.14</v>
      </c>
      <c r="F60" s="133"/>
      <c r="G60" s="133">
        <v>3000</v>
      </c>
      <c r="H60" s="133"/>
      <c r="I60" s="133">
        <v>2536.86</v>
      </c>
      <c r="J60" s="2" t="s">
        <v>117</v>
      </c>
      <c r="K60" s="133">
        <v>670.58</v>
      </c>
      <c r="L60" s="2"/>
      <c r="M60" s="133"/>
      <c r="N60" s="133"/>
      <c r="O60" s="133"/>
    </row>
    <row r="61" spans="1:15" x14ac:dyDescent="0.25">
      <c r="A61" s="2" t="s">
        <v>118</v>
      </c>
      <c r="B61" s="2">
        <v>22</v>
      </c>
      <c r="C61" s="135" t="s">
        <v>240</v>
      </c>
      <c r="J61" s="2" t="s">
        <v>118</v>
      </c>
      <c r="K61" s="133">
        <v>0</v>
      </c>
    </row>
    <row r="62" spans="1:15" x14ac:dyDescent="0.25">
      <c r="A62" s="2" t="s">
        <v>119</v>
      </c>
      <c r="B62" s="2">
        <v>22</v>
      </c>
      <c r="C62" s="135" t="s">
        <v>240</v>
      </c>
      <c r="J62" s="2" t="s">
        <v>119</v>
      </c>
      <c r="K62" s="133">
        <v>3007.95</v>
      </c>
      <c r="L62" s="2"/>
      <c r="M62" s="133"/>
      <c r="N62" s="133"/>
      <c r="O62" s="133"/>
    </row>
    <row r="63" spans="1:15" x14ac:dyDescent="0.25">
      <c r="A63" s="2" t="s">
        <v>120</v>
      </c>
      <c r="B63" s="2">
        <v>22</v>
      </c>
      <c r="C63" s="135" t="s">
        <v>240</v>
      </c>
      <c r="D63" s="2" t="s">
        <v>120</v>
      </c>
      <c r="E63" s="133">
        <v>2209.0700000000002</v>
      </c>
      <c r="F63" s="133"/>
      <c r="G63" s="133">
        <v>3000</v>
      </c>
      <c r="H63" s="133"/>
      <c r="I63" s="133">
        <v>790.93</v>
      </c>
      <c r="J63" s="2" t="s">
        <v>120</v>
      </c>
      <c r="K63" s="133">
        <v>0</v>
      </c>
      <c r="L63" s="2"/>
      <c r="M63" s="133"/>
      <c r="N63" s="133"/>
      <c r="O63" s="133"/>
    </row>
    <row r="64" spans="1:15" x14ac:dyDescent="0.25">
      <c r="A64" s="2" t="s">
        <v>121</v>
      </c>
      <c r="B64" s="2">
        <v>22</v>
      </c>
      <c r="C64" s="135" t="s">
        <v>240</v>
      </c>
      <c r="J64" s="2" t="s">
        <v>121</v>
      </c>
      <c r="K64" s="133">
        <v>10864.75</v>
      </c>
      <c r="L64" s="2"/>
      <c r="M64" s="133"/>
      <c r="N64" s="133"/>
      <c r="O64" s="133"/>
    </row>
    <row r="65" spans="1:15" x14ac:dyDescent="0.25">
      <c r="A65" s="2" t="s">
        <v>122</v>
      </c>
      <c r="B65" s="2">
        <v>22</v>
      </c>
      <c r="C65" s="135" t="s">
        <v>240</v>
      </c>
      <c r="D65" s="2" t="s">
        <v>122</v>
      </c>
      <c r="E65" s="133">
        <v>883.95</v>
      </c>
      <c r="F65" s="133"/>
      <c r="G65" s="133">
        <v>956</v>
      </c>
      <c r="H65" s="133"/>
      <c r="I65" s="133">
        <v>72.05</v>
      </c>
      <c r="J65" s="2" t="s">
        <v>122</v>
      </c>
      <c r="K65" s="133">
        <v>1189.3900000000001</v>
      </c>
      <c r="L65" s="2"/>
      <c r="M65" s="133"/>
      <c r="N65" s="133"/>
      <c r="O65" s="133"/>
    </row>
    <row r="66" spans="1:15" x14ac:dyDescent="0.25">
      <c r="A66" s="2" t="s">
        <v>123</v>
      </c>
      <c r="B66" s="2">
        <v>22</v>
      </c>
      <c r="C66" s="135" t="s">
        <v>240</v>
      </c>
      <c r="D66" s="2" t="s">
        <v>123</v>
      </c>
      <c r="E66" s="133">
        <v>6739.58</v>
      </c>
      <c r="F66" s="133"/>
      <c r="G66" s="133">
        <v>6253</v>
      </c>
      <c r="H66" s="133"/>
      <c r="I66" s="133">
        <v>-486.58</v>
      </c>
      <c r="J66" s="2" t="s">
        <v>123</v>
      </c>
      <c r="K66" s="133">
        <v>10594.94</v>
      </c>
      <c r="L66" s="2"/>
      <c r="M66" s="133"/>
      <c r="N66" s="133"/>
      <c r="O66" s="133"/>
    </row>
    <row r="67" spans="1:15" x14ac:dyDescent="0.25">
      <c r="A67" s="2" t="s">
        <v>124</v>
      </c>
      <c r="B67" s="2">
        <v>18</v>
      </c>
      <c r="C67" s="135" t="s">
        <v>240</v>
      </c>
      <c r="D67" s="2" t="s">
        <v>124</v>
      </c>
      <c r="E67" s="133">
        <v>34965.589999999997</v>
      </c>
      <c r="F67" s="133"/>
      <c r="G67" s="133">
        <v>37500</v>
      </c>
      <c r="H67" s="133"/>
      <c r="I67" s="133">
        <v>2534.41</v>
      </c>
      <c r="J67" s="2" t="s">
        <v>124</v>
      </c>
      <c r="K67" s="133">
        <v>30300.22</v>
      </c>
      <c r="L67" s="2"/>
      <c r="M67" s="133"/>
      <c r="N67" s="133"/>
      <c r="O67" s="133"/>
    </row>
    <row r="68" spans="1:15" x14ac:dyDescent="0.25">
      <c r="A68" s="2" t="s">
        <v>125</v>
      </c>
      <c r="B68" s="2">
        <v>18</v>
      </c>
      <c r="C68" s="135" t="s">
        <v>240</v>
      </c>
      <c r="D68" s="2" t="s">
        <v>125</v>
      </c>
      <c r="E68" s="133">
        <v>3603.46</v>
      </c>
      <c r="F68" s="133"/>
      <c r="G68" s="133">
        <v>3253</v>
      </c>
      <c r="H68" s="133"/>
      <c r="I68" s="133">
        <v>-350.46</v>
      </c>
      <c r="J68" s="2" t="s">
        <v>125</v>
      </c>
      <c r="K68" s="133">
        <v>2958.28</v>
      </c>
      <c r="L68" s="2"/>
      <c r="M68" s="133"/>
      <c r="N68" s="133"/>
      <c r="O68" s="133"/>
    </row>
    <row r="69" spans="1:15" x14ac:dyDescent="0.25">
      <c r="A69" s="2" t="s">
        <v>126</v>
      </c>
      <c r="B69" s="2">
        <v>18</v>
      </c>
      <c r="C69" s="135" t="s">
        <v>240</v>
      </c>
      <c r="D69" s="2" t="s">
        <v>126</v>
      </c>
      <c r="E69" s="133">
        <v>2253.4699999999998</v>
      </c>
      <c r="F69" s="133"/>
      <c r="G69" s="133">
        <v>6000</v>
      </c>
      <c r="H69" s="133"/>
      <c r="I69" s="133">
        <v>3746.53</v>
      </c>
      <c r="J69" s="2" t="s">
        <v>126</v>
      </c>
      <c r="K69" s="133">
        <v>4546.83</v>
      </c>
      <c r="L69" s="2"/>
      <c r="M69" s="133"/>
      <c r="N69" s="133"/>
      <c r="O69" s="133"/>
    </row>
    <row r="70" spans="1:15" x14ac:dyDescent="0.25">
      <c r="A70" s="2" t="s">
        <v>127</v>
      </c>
      <c r="B70" s="2">
        <v>18</v>
      </c>
      <c r="C70" s="135" t="s">
        <v>240</v>
      </c>
      <c r="D70" s="2" t="s">
        <v>127</v>
      </c>
      <c r="E70" s="133">
        <v>66471</v>
      </c>
      <c r="F70" s="133"/>
      <c r="G70" s="133">
        <v>27506</v>
      </c>
      <c r="H70" s="133"/>
      <c r="I70" s="133">
        <v>-38965</v>
      </c>
      <c r="J70" s="2" t="s">
        <v>127</v>
      </c>
      <c r="K70" s="133">
        <v>51028.800000000003</v>
      </c>
      <c r="L70" s="2"/>
      <c r="M70" s="133"/>
      <c r="N70" s="133"/>
      <c r="O70" s="133"/>
    </row>
    <row r="71" spans="1:15" x14ac:dyDescent="0.25">
      <c r="A71" s="2" t="s">
        <v>128</v>
      </c>
      <c r="B71" s="2">
        <v>24</v>
      </c>
      <c r="C71" s="135" t="s">
        <v>240</v>
      </c>
      <c r="D71" s="2" t="s">
        <v>128</v>
      </c>
      <c r="E71" s="133">
        <v>577.45000000000005</v>
      </c>
      <c r="F71" s="133"/>
      <c r="G71" s="133">
        <v>1003</v>
      </c>
      <c r="H71" s="133"/>
      <c r="I71" s="133">
        <v>425.55</v>
      </c>
      <c r="J71" s="2" t="s">
        <v>128</v>
      </c>
      <c r="K71" s="133">
        <v>758.59</v>
      </c>
      <c r="L71" s="2"/>
      <c r="M71" s="133"/>
      <c r="N71" s="133"/>
      <c r="O71" s="133"/>
    </row>
    <row r="72" spans="1:15" x14ac:dyDescent="0.25">
      <c r="A72" s="2" t="s">
        <v>129</v>
      </c>
      <c r="B72" s="2">
        <v>20</v>
      </c>
      <c r="C72" s="135" t="s">
        <v>240</v>
      </c>
      <c r="D72" s="2" t="s">
        <v>129</v>
      </c>
      <c r="E72" s="133">
        <v>4355.2</v>
      </c>
      <c r="F72" s="133"/>
      <c r="G72" s="133">
        <v>1675</v>
      </c>
      <c r="H72" s="133"/>
      <c r="I72" s="133">
        <v>-2680.2</v>
      </c>
      <c r="J72" s="2" t="s">
        <v>129</v>
      </c>
      <c r="K72" s="133">
        <v>4670.21</v>
      </c>
      <c r="L72" s="2"/>
      <c r="M72" s="133"/>
      <c r="N72" s="133"/>
      <c r="O72" s="133"/>
    </row>
    <row r="73" spans="1:15" x14ac:dyDescent="0.25">
      <c r="A73" s="2" t="s">
        <v>130</v>
      </c>
      <c r="B73" s="2">
        <v>23</v>
      </c>
      <c r="C73" s="135" t="s">
        <v>240</v>
      </c>
      <c r="D73" s="2" t="s">
        <v>130</v>
      </c>
      <c r="E73" s="133">
        <v>0</v>
      </c>
      <c r="F73" s="133"/>
      <c r="G73" s="133">
        <v>1500</v>
      </c>
      <c r="H73" s="133"/>
      <c r="I73" s="133">
        <v>1500</v>
      </c>
      <c r="J73" s="2" t="s">
        <v>130</v>
      </c>
      <c r="K73" s="133">
        <v>0</v>
      </c>
      <c r="L73" s="2"/>
      <c r="M73" s="133"/>
      <c r="N73" s="133"/>
      <c r="O73" s="133"/>
    </row>
    <row r="74" spans="1:15" x14ac:dyDescent="0.25">
      <c r="A74" s="2" t="s">
        <v>131</v>
      </c>
      <c r="B74" s="2">
        <v>20</v>
      </c>
      <c r="C74" s="135" t="s">
        <v>240</v>
      </c>
      <c r="D74" s="2" t="s">
        <v>131</v>
      </c>
      <c r="E74" s="133">
        <v>0</v>
      </c>
      <c r="F74" s="133"/>
      <c r="G74" s="133">
        <v>13350</v>
      </c>
      <c r="H74" s="133"/>
      <c r="I74" s="133">
        <v>13350</v>
      </c>
      <c r="J74" s="2" t="s">
        <v>131</v>
      </c>
      <c r="K74" s="133">
        <v>63.35</v>
      </c>
      <c r="L74" s="2"/>
      <c r="M74" s="133"/>
      <c r="N74" s="133"/>
      <c r="O74" s="133"/>
    </row>
    <row r="75" spans="1:15" x14ac:dyDescent="0.25">
      <c r="A75" s="2" t="s">
        <v>132</v>
      </c>
      <c r="B75" s="2">
        <v>23</v>
      </c>
      <c r="C75" s="135" t="s">
        <v>240</v>
      </c>
      <c r="D75" s="2" t="s">
        <v>132</v>
      </c>
      <c r="E75" s="133">
        <v>1688.3</v>
      </c>
      <c r="F75" s="133"/>
      <c r="G75" s="133">
        <v>10003</v>
      </c>
      <c r="H75" s="133"/>
      <c r="I75" s="133">
        <v>8314.7000000000007</v>
      </c>
      <c r="J75" s="2" t="s">
        <v>132</v>
      </c>
      <c r="K75" s="133">
        <v>399.6</v>
      </c>
    </row>
    <row r="76" spans="1:15" x14ac:dyDescent="0.25">
      <c r="A76" s="2" t="s">
        <v>133</v>
      </c>
      <c r="B76" s="2">
        <v>23</v>
      </c>
      <c r="C76" s="135" t="s">
        <v>240</v>
      </c>
      <c r="D76" s="2" t="s">
        <v>133</v>
      </c>
      <c r="E76" s="133">
        <v>15.8</v>
      </c>
      <c r="F76" s="133"/>
      <c r="G76" s="133">
        <v>0</v>
      </c>
      <c r="H76" s="133"/>
      <c r="I76" s="133">
        <v>-15.8</v>
      </c>
      <c r="J76" s="2" t="s">
        <v>133</v>
      </c>
      <c r="K76" s="133">
        <v>4651.32</v>
      </c>
      <c r="L76" s="2"/>
      <c r="M76" s="133"/>
      <c r="N76" s="133"/>
      <c r="O76" s="133"/>
    </row>
    <row r="77" spans="1:15" x14ac:dyDescent="0.25">
      <c r="A77" s="2" t="s">
        <v>134</v>
      </c>
      <c r="B77" s="2">
        <v>23</v>
      </c>
      <c r="C77" s="135" t="s">
        <v>240</v>
      </c>
      <c r="D77" s="2" t="s">
        <v>134</v>
      </c>
      <c r="E77" s="133">
        <v>18104.3</v>
      </c>
      <c r="F77" s="133"/>
      <c r="G77" s="133">
        <v>20006</v>
      </c>
      <c r="H77" s="133"/>
      <c r="I77" s="133">
        <v>1901.7</v>
      </c>
      <c r="J77" s="2" t="s">
        <v>134</v>
      </c>
      <c r="K77" s="133">
        <v>2200</v>
      </c>
      <c r="L77" s="2"/>
      <c r="M77" s="133"/>
      <c r="N77" s="133"/>
      <c r="O77" s="133"/>
    </row>
    <row r="78" spans="1:15" x14ac:dyDescent="0.25">
      <c r="A78" s="2" t="s">
        <v>225</v>
      </c>
      <c r="B78" s="2">
        <v>25</v>
      </c>
      <c r="C78" s="135"/>
      <c r="D78" s="2" t="s">
        <v>225</v>
      </c>
      <c r="E78" s="133">
        <v>0</v>
      </c>
      <c r="F78" s="133"/>
      <c r="G78" s="133">
        <v>6362</v>
      </c>
      <c r="H78" s="133"/>
      <c r="I78" s="133">
        <v>6362</v>
      </c>
      <c r="J78" s="2" t="s">
        <v>225</v>
      </c>
      <c r="K78" s="133">
        <v>0</v>
      </c>
      <c r="L78" s="2"/>
      <c r="M78" s="133"/>
      <c r="N78" s="133"/>
      <c r="O78" s="133"/>
    </row>
    <row r="79" spans="1:15" x14ac:dyDescent="0.25">
      <c r="A79" s="2" t="s">
        <v>135</v>
      </c>
      <c r="B79" s="2">
        <v>21</v>
      </c>
      <c r="C79" s="135" t="s">
        <v>240</v>
      </c>
      <c r="D79" s="2" t="s">
        <v>135</v>
      </c>
      <c r="E79" s="133">
        <v>92511</v>
      </c>
      <c r="F79" s="133"/>
      <c r="G79" s="133">
        <v>92503</v>
      </c>
      <c r="H79" s="133"/>
      <c r="I79" s="133">
        <v>-8</v>
      </c>
      <c r="J79" s="2" t="s">
        <v>135</v>
      </c>
      <c r="K79" s="133">
        <v>84999</v>
      </c>
      <c r="L79" s="2"/>
      <c r="M79" s="133"/>
      <c r="N79" s="133"/>
      <c r="O79" s="133"/>
    </row>
    <row r="80" spans="1:15" x14ac:dyDescent="0.25">
      <c r="A80" s="2" t="s">
        <v>136</v>
      </c>
      <c r="B80" s="2">
        <v>20</v>
      </c>
      <c r="C80" s="135" t="s">
        <v>240</v>
      </c>
      <c r="J80" s="2" t="s">
        <v>136</v>
      </c>
      <c r="K80" s="133">
        <v>0</v>
      </c>
      <c r="L80" s="2"/>
      <c r="M80" s="133"/>
      <c r="N80" s="133"/>
      <c r="O80" s="133"/>
    </row>
    <row r="81" spans="1:15" x14ac:dyDescent="0.25">
      <c r="A81" s="2" t="s">
        <v>137</v>
      </c>
      <c r="B81" s="2">
        <v>23</v>
      </c>
      <c r="C81" s="135" t="s">
        <v>240</v>
      </c>
      <c r="D81" s="2" t="s">
        <v>137</v>
      </c>
      <c r="E81" s="133">
        <v>921.99</v>
      </c>
      <c r="F81" s="133"/>
      <c r="G81" s="133">
        <v>2503</v>
      </c>
      <c r="H81" s="133"/>
      <c r="I81" s="133">
        <v>1581.01</v>
      </c>
      <c r="J81" s="2" t="s">
        <v>137</v>
      </c>
      <c r="K81" s="133">
        <v>175</v>
      </c>
      <c r="L81" s="2"/>
      <c r="M81" s="133"/>
      <c r="N81" s="133"/>
      <c r="O81" s="133"/>
    </row>
    <row r="82" spans="1:15" x14ac:dyDescent="0.25">
      <c r="A82" s="2" t="s">
        <v>138</v>
      </c>
      <c r="B82" s="2">
        <v>19</v>
      </c>
      <c r="C82" s="135" t="s">
        <v>240</v>
      </c>
      <c r="D82" s="2" t="s">
        <v>138</v>
      </c>
      <c r="E82" s="133">
        <v>30000</v>
      </c>
      <c r="F82" s="133"/>
      <c r="G82" s="133">
        <v>30000</v>
      </c>
      <c r="H82" s="133"/>
      <c r="I82" s="133">
        <v>0</v>
      </c>
      <c r="J82" s="2" t="s">
        <v>138</v>
      </c>
      <c r="K82" s="133">
        <v>38703.31</v>
      </c>
      <c r="L82" s="2"/>
      <c r="M82" s="133"/>
      <c r="N82" s="133"/>
      <c r="O82" s="133"/>
    </row>
    <row r="83" spans="1:15" x14ac:dyDescent="0.25">
      <c r="A83" s="2" t="s">
        <v>139</v>
      </c>
      <c r="B83" s="2">
        <v>26</v>
      </c>
      <c r="C83" s="135"/>
      <c r="D83" s="2" t="s">
        <v>139</v>
      </c>
      <c r="E83" s="133">
        <v>82500</v>
      </c>
      <c r="F83" s="133"/>
      <c r="G83" s="133">
        <v>82500</v>
      </c>
      <c r="H83" s="133"/>
      <c r="I83" s="133">
        <v>0</v>
      </c>
      <c r="J83" s="2" t="s">
        <v>139</v>
      </c>
      <c r="K83" s="133">
        <v>82500</v>
      </c>
    </row>
    <row r="84" spans="1:15" x14ac:dyDescent="0.25">
      <c r="L84" s="2"/>
      <c r="M84" s="133"/>
      <c r="N84" s="133"/>
      <c r="O84" s="133"/>
    </row>
    <row r="85" spans="1:15" x14ac:dyDescent="0.25">
      <c r="A85" s="2" t="s">
        <v>140</v>
      </c>
      <c r="B85" s="2"/>
      <c r="D85" s="2" t="s">
        <v>140</v>
      </c>
      <c r="E85" s="133">
        <v>564438.47</v>
      </c>
      <c r="F85" s="133"/>
      <c r="G85" s="133">
        <v>572292</v>
      </c>
      <c r="H85" s="133"/>
      <c r="I85" s="133">
        <v>7853.53</v>
      </c>
      <c r="J85" s="2" t="s">
        <v>140</v>
      </c>
      <c r="K85" s="133">
        <v>502913.31</v>
      </c>
    </row>
    <row r="87" spans="1:15" x14ac:dyDescent="0.25">
      <c r="L87" s="2"/>
      <c r="M87" s="133"/>
      <c r="N87" s="133"/>
      <c r="O87" s="133"/>
    </row>
    <row r="88" spans="1:15" x14ac:dyDescent="0.25">
      <c r="C88" s="135"/>
      <c r="D88" s="2" t="s">
        <v>141</v>
      </c>
      <c r="E88" s="133">
        <v>105437.44</v>
      </c>
      <c r="F88" s="133"/>
      <c r="G88" s="133">
        <v>95484</v>
      </c>
      <c r="H88" s="133"/>
      <c r="I88" s="133">
        <v>9953.44</v>
      </c>
      <c r="J88" s="2" t="s">
        <v>141</v>
      </c>
      <c r="K88" s="133">
        <v>57422.49</v>
      </c>
    </row>
    <row r="89" spans="1:15" x14ac:dyDescent="0.25">
      <c r="A89" s="2" t="s">
        <v>141</v>
      </c>
      <c r="B8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"/>
  <sheetViews>
    <sheetView topLeftCell="A54" zoomScaleNormal="100" workbookViewId="0">
      <selection activeCell="T80" sqref="T80"/>
    </sheetView>
  </sheetViews>
  <sheetFormatPr defaultRowHeight="15" x14ac:dyDescent="0.25"/>
  <cols>
    <col min="1" max="1" width="43.85546875" style="68" bestFit="1" customWidth="1"/>
    <col min="2" max="2" width="7.7109375" style="68" bestFit="1" customWidth="1"/>
    <col min="3" max="3" width="3.28515625" customWidth="1"/>
    <col min="4" max="4" width="38.7109375" style="68" customWidth="1"/>
    <col min="5" max="5" width="9.42578125" style="68" hidden="1" customWidth="1"/>
    <col min="6" max="7" width="10.28515625" style="68" hidden="1" customWidth="1"/>
    <col min="8" max="8" width="8.5703125" style="68" hidden="1" customWidth="1"/>
    <col min="9" max="10" width="11.140625" style="68" hidden="1" customWidth="1"/>
    <col min="11" max="11" width="10.28515625" style="68" hidden="1" customWidth="1"/>
    <col min="12" max="12" width="7.7109375" style="68" hidden="1" customWidth="1"/>
    <col min="13" max="18" width="11.140625" style="68" hidden="1" customWidth="1"/>
    <col min="19" max="19" width="7.7109375" style="68" hidden="1" customWidth="1"/>
    <col min="20" max="20" width="37.28515625" style="154" bestFit="1" customWidth="1"/>
    <col min="21" max="28" width="0" hidden="1" customWidth="1"/>
    <col min="29" max="29" width="10.42578125" bestFit="1" customWidth="1"/>
  </cols>
  <sheetData>
    <row r="1" spans="1:29" ht="18" x14ac:dyDescent="0.25">
      <c r="A1" s="69" t="s">
        <v>195</v>
      </c>
      <c r="D1" s="162" t="s">
        <v>269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29" ht="18" x14ac:dyDescent="0.25">
      <c r="D2" s="162" t="s">
        <v>270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1:29" ht="15" customHeight="1" x14ac:dyDescent="0.25">
      <c r="A3" s="76"/>
      <c r="B3" s="41"/>
      <c r="D3" s="76"/>
      <c r="E3" s="164" t="s">
        <v>271</v>
      </c>
      <c r="F3" s="165"/>
      <c r="G3" s="165"/>
      <c r="H3" s="165"/>
      <c r="I3" s="164" t="s">
        <v>272</v>
      </c>
      <c r="J3" s="165"/>
      <c r="K3" s="165"/>
      <c r="L3" s="165"/>
      <c r="M3" s="164" t="s">
        <v>263</v>
      </c>
      <c r="N3" s="166"/>
      <c r="O3" s="165"/>
      <c r="P3" s="165"/>
      <c r="Q3" s="165"/>
      <c r="R3" s="165"/>
      <c r="S3" s="165"/>
    </row>
    <row r="4" spans="1:29" ht="24.75" x14ac:dyDescent="0.25">
      <c r="A4" s="76"/>
      <c r="B4" s="42"/>
      <c r="D4" s="76"/>
      <c r="E4" s="138" t="s">
        <v>0</v>
      </c>
      <c r="F4" s="138" t="s">
        <v>1</v>
      </c>
      <c r="G4" s="138" t="s">
        <v>273</v>
      </c>
      <c r="H4" s="138" t="s">
        <v>274</v>
      </c>
      <c r="I4" s="138" t="s">
        <v>0</v>
      </c>
      <c r="J4" s="138" t="s">
        <v>1</v>
      </c>
      <c r="K4" s="138" t="s">
        <v>273</v>
      </c>
      <c r="L4" s="138" t="s">
        <v>274</v>
      </c>
      <c r="M4" s="138" t="s">
        <v>0</v>
      </c>
      <c r="N4" s="138"/>
      <c r="O4" s="138" t="s">
        <v>1</v>
      </c>
      <c r="P4" s="138"/>
      <c r="Q4" s="138" t="s">
        <v>273</v>
      </c>
      <c r="R4" s="138"/>
      <c r="S4" s="138" t="s">
        <v>274</v>
      </c>
    </row>
    <row r="5" spans="1:29" x14ac:dyDescent="0.25">
      <c r="A5" s="1" t="s">
        <v>2</v>
      </c>
      <c r="B5" s="43"/>
      <c r="D5" s="139" t="s">
        <v>2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55" t="s">
        <v>2</v>
      </c>
      <c r="U5" s="149"/>
      <c r="V5" s="149"/>
      <c r="W5" s="149"/>
      <c r="X5" s="149"/>
      <c r="Y5" s="149"/>
      <c r="Z5" s="149"/>
      <c r="AA5" s="149"/>
      <c r="AB5" s="149"/>
      <c r="AC5" s="149"/>
    </row>
    <row r="6" spans="1:29" x14ac:dyDescent="0.25">
      <c r="A6" s="1" t="s">
        <v>3</v>
      </c>
      <c r="B6" s="44"/>
      <c r="D6" s="139" t="s">
        <v>3</v>
      </c>
      <c r="E6" s="140"/>
      <c r="F6" s="140"/>
      <c r="G6" s="141">
        <f t="shared" ref="G6:G14" si="0">(E6)-(F6)</f>
        <v>0</v>
      </c>
      <c r="H6" s="142" t="str">
        <f t="shared" ref="H6:H14" si="1">IF(F6=0,"",(E6)/(F6))</f>
        <v/>
      </c>
      <c r="I6" s="140"/>
      <c r="J6" s="140"/>
      <c r="K6" s="141">
        <f t="shared" ref="K6:K14" si="2">(I6)-(J6)</f>
        <v>0</v>
      </c>
      <c r="L6" s="142" t="str">
        <f t="shared" ref="L6:L14" si="3">IF(J6=0,"",(I6)/(J6))</f>
        <v/>
      </c>
      <c r="M6" s="141">
        <f t="shared" ref="M6:M14" si="4">(E6)+(I6)</f>
        <v>0</v>
      </c>
      <c r="N6" s="141"/>
      <c r="O6" s="141">
        <f t="shared" ref="O6:O14" si="5">(F6)+(J6)</f>
        <v>0</v>
      </c>
      <c r="P6" s="141"/>
      <c r="Q6" s="141">
        <f t="shared" ref="Q6:Q14" si="6">(M6)-(O6)</f>
        <v>0</v>
      </c>
      <c r="R6" s="141"/>
      <c r="S6" s="142" t="str">
        <f t="shared" ref="S6:S14" si="7">IF(O6=0,"",(M6)/(O6))</f>
        <v/>
      </c>
      <c r="T6" s="155" t="s">
        <v>3</v>
      </c>
      <c r="U6" s="149"/>
      <c r="V6" s="149"/>
      <c r="W6" s="150">
        <f t="shared" ref="W6:W8" si="8">(U6)-(V6)</f>
        <v>0</v>
      </c>
      <c r="X6" s="151" t="str">
        <f t="shared" ref="X6:X8" si="9">IF(V6=0,"",(U6)/(V6))</f>
        <v/>
      </c>
      <c r="Y6" s="149"/>
      <c r="Z6" s="149"/>
      <c r="AA6" s="150">
        <f t="shared" ref="AA6:AA8" si="10">(Y6)-(Z6)</f>
        <v>0</v>
      </c>
      <c r="AB6" s="151" t="str">
        <f t="shared" ref="AB6:AB8" si="11">IF(Z6=0,"",(Y6)/(Z6))</f>
        <v/>
      </c>
      <c r="AC6" s="150">
        <f t="shared" ref="AC6:AC8" si="12">(U6)+(Y6)</f>
        <v>0</v>
      </c>
    </row>
    <row r="7" spans="1:29" x14ac:dyDescent="0.25">
      <c r="A7" s="1" t="s">
        <v>4</v>
      </c>
      <c r="B7" s="44"/>
      <c r="D7" s="139" t="s">
        <v>4</v>
      </c>
      <c r="E7" s="141">
        <f>132.64</f>
        <v>132.63999999999999</v>
      </c>
      <c r="F7" s="140"/>
      <c r="G7" s="141">
        <f t="shared" si="0"/>
        <v>132.63999999999999</v>
      </c>
      <c r="H7" s="142" t="str">
        <f t="shared" si="1"/>
        <v/>
      </c>
      <c r="I7" s="140"/>
      <c r="J7" s="140"/>
      <c r="K7" s="141">
        <f t="shared" si="2"/>
        <v>0</v>
      </c>
      <c r="L7" s="142" t="str">
        <f t="shared" si="3"/>
        <v/>
      </c>
      <c r="M7" s="141">
        <f t="shared" si="4"/>
        <v>132.63999999999999</v>
      </c>
      <c r="N7" s="141"/>
      <c r="O7" s="141">
        <f t="shared" si="5"/>
        <v>0</v>
      </c>
      <c r="P7" s="141"/>
      <c r="Q7" s="141">
        <f t="shared" si="6"/>
        <v>132.63999999999999</v>
      </c>
      <c r="R7" s="141"/>
      <c r="S7" s="142" t="str">
        <f t="shared" si="7"/>
        <v/>
      </c>
      <c r="T7" s="155" t="s">
        <v>4</v>
      </c>
      <c r="U7" s="150">
        <f>1104.97</f>
        <v>1104.97</v>
      </c>
      <c r="V7" s="149"/>
      <c r="W7" s="150">
        <f t="shared" si="8"/>
        <v>1104.97</v>
      </c>
      <c r="X7" s="151" t="str">
        <f t="shared" si="9"/>
        <v/>
      </c>
      <c r="Y7" s="149"/>
      <c r="Z7" s="149"/>
      <c r="AA7" s="150">
        <f t="shared" si="10"/>
        <v>0</v>
      </c>
      <c r="AB7" s="151" t="str">
        <f t="shared" si="11"/>
        <v/>
      </c>
      <c r="AC7" s="150">
        <f t="shared" si="12"/>
        <v>1104.97</v>
      </c>
    </row>
    <row r="8" spans="1:29" x14ac:dyDescent="0.25">
      <c r="D8" s="139" t="s">
        <v>5</v>
      </c>
      <c r="E8" s="143">
        <f>(E6)+(E7)</f>
        <v>132.63999999999999</v>
      </c>
      <c r="F8" s="143">
        <f>(F6)+(F7)</f>
        <v>0</v>
      </c>
      <c r="G8" s="143">
        <f t="shared" si="0"/>
        <v>132.63999999999999</v>
      </c>
      <c r="H8" s="144" t="str">
        <f t="shared" si="1"/>
        <v/>
      </c>
      <c r="I8" s="143">
        <f>(I6)+(I7)</f>
        <v>0</v>
      </c>
      <c r="J8" s="143">
        <f>(J6)+(J7)</f>
        <v>0</v>
      </c>
      <c r="K8" s="143">
        <f t="shared" si="2"/>
        <v>0</v>
      </c>
      <c r="L8" s="144" t="str">
        <f t="shared" si="3"/>
        <v/>
      </c>
      <c r="M8" s="143">
        <f t="shared" si="4"/>
        <v>132.63999999999999</v>
      </c>
      <c r="N8" s="143"/>
      <c r="O8" s="143">
        <f t="shared" si="5"/>
        <v>0</v>
      </c>
      <c r="P8" s="143"/>
      <c r="Q8" s="143">
        <f t="shared" si="6"/>
        <v>132.63999999999999</v>
      </c>
      <c r="R8" s="143"/>
      <c r="S8" s="144" t="str">
        <f t="shared" si="7"/>
        <v/>
      </c>
      <c r="T8" s="155" t="s">
        <v>5</v>
      </c>
      <c r="U8" s="152">
        <f>(U6)+(U7)</f>
        <v>1104.97</v>
      </c>
      <c r="V8" s="152">
        <f>(V6)+(V7)</f>
        <v>0</v>
      </c>
      <c r="W8" s="152">
        <f t="shared" si="8"/>
        <v>1104.97</v>
      </c>
      <c r="X8" s="153" t="str">
        <f t="shared" si="9"/>
        <v/>
      </c>
      <c r="Y8" s="152">
        <f>(Y6)+(Y7)</f>
        <v>0</v>
      </c>
      <c r="Z8" s="152">
        <f>(Z6)+(Z7)</f>
        <v>0</v>
      </c>
      <c r="AA8" s="152">
        <f t="shared" si="10"/>
        <v>0</v>
      </c>
      <c r="AB8" s="153" t="str">
        <f t="shared" si="11"/>
        <v/>
      </c>
      <c r="AC8" s="152">
        <f t="shared" si="12"/>
        <v>1104.97</v>
      </c>
    </row>
    <row r="9" spans="1:29" x14ac:dyDescent="0.25">
      <c r="D9" s="139" t="s">
        <v>275</v>
      </c>
      <c r="E9" s="140"/>
      <c r="F9" s="140"/>
      <c r="G9" s="141">
        <f t="shared" si="0"/>
        <v>0</v>
      </c>
      <c r="H9" s="142" t="str">
        <f t="shared" si="1"/>
        <v/>
      </c>
      <c r="I9" s="140"/>
      <c r="J9" s="140"/>
      <c r="K9" s="141">
        <f t="shared" si="2"/>
        <v>0</v>
      </c>
      <c r="L9" s="142" t="str">
        <f t="shared" si="3"/>
        <v/>
      </c>
      <c r="M9" s="141">
        <f t="shared" si="4"/>
        <v>0</v>
      </c>
      <c r="N9" s="141"/>
      <c r="O9" s="141">
        <f t="shared" si="5"/>
        <v>0</v>
      </c>
      <c r="P9" s="141"/>
      <c r="Q9" s="141">
        <f t="shared" si="6"/>
        <v>0</v>
      </c>
      <c r="R9" s="141"/>
      <c r="S9" s="142" t="str">
        <f t="shared" si="7"/>
        <v/>
      </c>
    </row>
    <row r="10" spans="1:29" x14ac:dyDescent="0.25">
      <c r="A10" s="1" t="s">
        <v>226</v>
      </c>
      <c r="B10" s="44"/>
      <c r="D10" s="139" t="s">
        <v>276</v>
      </c>
      <c r="E10" s="140"/>
      <c r="F10" s="141">
        <f>0</f>
        <v>0</v>
      </c>
      <c r="G10" s="141">
        <f t="shared" si="0"/>
        <v>0</v>
      </c>
      <c r="H10" s="142" t="str">
        <f t="shared" si="1"/>
        <v/>
      </c>
      <c r="I10" s="140"/>
      <c r="J10" s="140"/>
      <c r="K10" s="141">
        <f t="shared" si="2"/>
        <v>0</v>
      </c>
      <c r="L10" s="142" t="str">
        <f t="shared" si="3"/>
        <v/>
      </c>
      <c r="M10" s="141">
        <f t="shared" si="4"/>
        <v>0</v>
      </c>
      <c r="N10" s="141"/>
      <c r="O10" s="141">
        <f t="shared" si="5"/>
        <v>0</v>
      </c>
      <c r="P10" s="141"/>
      <c r="Q10" s="141">
        <f t="shared" si="6"/>
        <v>0</v>
      </c>
      <c r="R10" s="141"/>
      <c r="S10" s="142" t="str">
        <f t="shared" si="7"/>
        <v/>
      </c>
    </row>
    <row r="11" spans="1:29" x14ac:dyDescent="0.25">
      <c r="A11" s="1" t="s">
        <v>5</v>
      </c>
      <c r="B11" s="45">
        <v>1</v>
      </c>
      <c r="D11" s="139" t="s">
        <v>277</v>
      </c>
      <c r="E11" s="143">
        <f>(E9)+(E10)</f>
        <v>0</v>
      </c>
      <c r="F11" s="143">
        <f>(F9)+(F10)</f>
        <v>0</v>
      </c>
      <c r="G11" s="143">
        <f t="shared" si="0"/>
        <v>0</v>
      </c>
      <c r="H11" s="144" t="str">
        <f t="shared" si="1"/>
        <v/>
      </c>
      <c r="I11" s="143">
        <f>(I9)+(I10)</f>
        <v>0</v>
      </c>
      <c r="J11" s="143">
        <f>(J9)+(J10)</f>
        <v>0</v>
      </c>
      <c r="K11" s="143">
        <f t="shared" si="2"/>
        <v>0</v>
      </c>
      <c r="L11" s="144" t="str">
        <f t="shared" si="3"/>
        <v/>
      </c>
      <c r="M11" s="143">
        <f t="shared" si="4"/>
        <v>0</v>
      </c>
      <c r="N11" s="143"/>
      <c r="O11" s="143">
        <f t="shared" si="5"/>
        <v>0</v>
      </c>
      <c r="P11" s="143"/>
      <c r="Q11" s="143">
        <f t="shared" si="6"/>
        <v>0</v>
      </c>
      <c r="R11" s="143"/>
      <c r="S11" s="144" t="str">
        <f t="shared" si="7"/>
        <v/>
      </c>
    </row>
    <row r="12" spans="1:29" x14ac:dyDescent="0.25">
      <c r="A12" s="1" t="s">
        <v>6</v>
      </c>
      <c r="B12" s="44"/>
      <c r="D12" s="139" t="s">
        <v>6</v>
      </c>
      <c r="E12" s="140"/>
      <c r="F12" s="140"/>
      <c r="G12" s="141">
        <f t="shared" si="0"/>
        <v>0</v>
      </c>
      <c r="H12" s="142" t="str">
        <f t="shared" si="1"/>
        <v/>
      </c>
      <c r="I12" s="140"/>
      <c r="J12" s="140"/>
      <c r="K12" s="141">
        <f t="shared" si="2"/>
        <v>0</v>
      </c>
      <c r="L12" s="142" t="str">
        <f t="shared" si="3"/>
        <v/>
      </c>
      <c r="M12" s="141">
        <f t="shared" si="4"/>
        <v>0</v>
      </c>
      <c r="N12" s="141"/>
      <c r="O12" s="141">
        <f t="shared" si="5"/>
        <v>0</v>
      </c>
      <c r="P12" s="141"/>
      <c r="Q12" s="141">
        <f t="shared" si="6"/>
        <v>0</v>
      </c>
      <c r="R12" s="141"/>
      <c r="S12" s="142" t="str">
        <f t="shared" si="7"/>
        <v/>
      </c>
      <c r="T12" s="155" t="s">
        <v>6</v>
      </c>
      <c r="U12" s="149"/>
      <c r="V12" s="149"/>
      <c r="W12" s="150">
        <f t="shared" ref="W12:W20" si="13">(U12)-(V12)</f>
        <v>0</v>
      </c>
      <c r="X12" s="151" t="str">
        <f t="shared" ref="X12:X20" si="14">IF(V12=0,"",(U12)/(V12))</f>
        <v/>
      </c>
      <c r="Y12" s="149"/>
      <c r="Z12" s="149"/>
      <c r="AA12" s="150">
        <f t="shared" ref="AA12:AA20" si="15">(Y12)-(Z12)</f>
        <v>0</v>
      </c>
      <c r="AB12" s="151" t="str">
        <f t="shared" ref="AB12:AB20" si="16">IF(Z12=0,"",(Y12)/(Z12))</f>
        <v/>
      </c>
      <c r="AC12" s="150">
        <f t="shared" ref="AC12:AC20" si="17">(U12)+(Y12)</f>
        <v>0</v>
      </c>
    </row>
    <row r="13" spans="1:29" x14ac:dyDescent="0.25">
      <c r="A13" s="1" t="s">
        <v>7</v>
      </c>
      <c r="B13" s="44"/>
      <c r="D13" s="139" t="s">
        <v>7</v>
      </c>
      <c r="E13" s="141">
        <f>14721.08</f>
        <v>14721.08</v>
      </c>
      <c r="F13" s="141">
        <f>20000</f>
        <v>20000</v>
      </c>
      <c r="G13" s="141">
        <f t="shared" si="0"/>
        <v>-5278.92</v>
      </c>
      <c r="H13" s="142">
        <f t="shared" si="1"/>
        <v>0.73605399999999999</v>
      </c>
      <c r="I13" s="140"/>
      <c r="J13" s="140"/>
      <c r="K13" s="141">
        <f t="shared" si="2"/>
        <v>0</v>
      </c>
      <c r="L13" s="142" t="str">
        <f t="shared" si="3"/>
        <v/>
      </c>
      <c r="M13" s="141">
        <f t="shared" si="4"/>
        <v>14721.08</v>
      </c>
      <c r="N13" s="141"/>
      <c r="O13" s="141">
        <f t="shared" si="5"/>
        <v>20000</v>
      </c>
      <c r="P13" s="141"/>
      <c r="Q13" s="141">
        <f t="shared" si="6"/>
        <v>-5278.92</v>
      </c>
      <c r="R13" s="141"/>
      <c r="S13" s="142">
        <f t="shared" si="7"/>
        <v>0.73605399999999999</v>
      </c>
      <c r="T13" s="155" t="s">
        <v>7</v>
      </c>
      <c r="U13" s="150">
        <f>19283.79</f>
        <v>19283.79</v>
      </c>
      <c r="V13" s="149"/>
      <c r="W13" s="150">
        <f t="shared" si="13"/>
        <v>19283.79</v>
      </c>
      <c r="X13" s="151" t="str">
        <f t="shared" si="14"/>
        <v/>
      </c>
      <c r="Y13" s="149"/>
      <c r="Z13" s="149"/>
      <c r="AA13" s="150">
        <f t="shared" si="15"/>
        <v>0</v>
      </c>
      <c r="AB13" s="151" t="str">
        <f t="shared" si="16"/>
        <v/>
      </c>
      <c r="AC13" s="150">
        <f t="shared" si="17"/>
        <v>19283.79</v>
      </c>
    </row>
    <row r="14" spans="1:29" x14ac:dyDescent="0.25">
      <c r="A14" s="1" t="s">
        <v>8</v>
      </c>
      <c r="B14" s="45">
        <v>3</v>
      </c>
      <c r="D14" s="139" t="s">
        <v>8</v>
      </c>
      <c r="E14" s="143">
        <f>(E12)+(E13)</f>
        <v>14721.08</v>
      </c>
      <c r="F14" s="143">
        <f>(F12)+(F13)</f>
        <v>20000</v>
      </c>
      <c r="G14" s="143">
        <f t="shared" si="0"/>
        <v>-5278.92</v>
      </c>
      <c r="H14" s="144">
        <f t="shared" si="1"/>
        <v>0.73605399999999999</v>
      </c>
      <c r="I14" s="143">
        <f>(I12)+(I13)</f>
        <v>0</v>
      </c>
      <c r="J14" s="143">
        <f>(J12)+(J13)</f>
        <v>0</v>
      </c>
      <c r="K14" s="143">
        <f t="shared" si="2"/>
        <v>0</v>
      </c>
      <c r="L14" s="144" t="str">
        <f t="shared" si="3"/>
        <v/>
      </c>
      <c r="M14" s="143">
        <f t="shared" si="4"/>
        <v>14721.08</v>
      </c>
      <c r="N14" s="143"/>
      <c r="O14" s="143">
        <f t="shared" si="5"/>
        <v>20000</v>
      </c>
      <c r="P14" s="143"/>
      <c r="Q14" s="143">
        <f t="shared" si="6"/>
        <v>-5278.92</v>
      </c>
      <c r="R14" s="143"/>
      <c r="S14" s="144">
        <f t="shared" si="7"/>
        <v>0.73605399999999999</v>
      </c>
      <c r="T14" s="155" t="s">
        <v>8</v>
      </c>
      <c r="U14" s="152">
        <f>(U12)+(U13)</f>
        <v>19283.79</v>
      </c>
      <c r="V14" s="152">
        <f>(V12)+(V13)</f>
        <v>0</v>
      </c>
      <c r="W14" s="152">
        <f t="shared" si="13"/>
        <v>19283.79</v>
      </c>
      <c r="X14" s="153" t="str">
        <f t="shared" si="14"/>
        <v/>
      </c>
      <c r="Y14" s="152">
        <f>(Y12)+(Y13)</f>
        <v>0</v>
      </c>
      <c r="Z14" s="152">
        <f>(Z12)+(Z13)</f>
        <v>0</v>
      </c>
      <c r="AA14" s="152">
        <f t="shared" si="15"/>
        <v>0</v>
      </c>
      <c r="AB14" s="153" t="str">
        <f t="shared" si="16"/>
        <v/>
      </c>
      <c r="AC14" s="152">
        <f t="shared" si="17"/>
        <v>19283.79</v>
      </c>
    </row>
    <row r="15" spans="1:29" x14ac:dyDescent="0.25">
      <c r="A15" s="1" t="s">
        <v>9</v>
      </c>
      <c r="B15" s="44"/>
      <c r="T15" s="155" t="s">
        <v>9</v>
      </c>
      <c r="U15" s="149"/>
      <c r="V15" s="149"/>
      <c r="W15" s="150">
        <f t="shared" si="13"/>
        <v>0</v>
      </c>
      <c r="X15" s="151" t="str">
        <f t="shared" si="14"/>
        <v/>
      </c>
      <c r="Y15" s="149"/>
      <c r="Z15" s="149"/>
      <c r="AA15" s="150">
        <f t="shared" si="15"/>
        <v>0</v>
      </c>
      <c r="AB15" s="151" t="str">
        <f t="shared" si="16"/>
        <v/>
      </c>
      <c r="AC15" s="150">
        <f t="shared" si="17"/>
        <v>0</v>
      </c>
    </row>
    <row r="16" spans="1:29" x14ac:dyDescent="0.25">
      <c r="A16" s="1" t="s">
        <v>10</v>
      </c>
      <c r="B16" s="26"/>
      <c r="T16" s="155" t="s">
        <v>10</v>
      </c>
      <c r="U16" s="149"/>
      <c r="V16" s="149"/>
      <c r="W16" s="150">
        <f t="shared" si="13"/>
        <v>0</v>
      </c>
      <c r="X16" s="151" t="str">
        <f t="shared" si="14"/>
        <v/>
      </c>
      <c r="Y16" s="150">
        <f>5850</f>
        <v>5850</v>
      </c>
      <c r="Z16" s="149"/>
      <c r="AA16" s="150">
        <f t="shared" si="15"/>
        <v>5850</v>
      </c>
      <c r="AB16" s="151" t="str">
        <f t="shared" si="16"/>
        <v/>
      </c>
      <c r="AC16" s="150">
        <f t="shared" si="17"/>
        <v>5850</v>
      </c>
    </row>
    <row r="17" spans="1:29" x14ac:dyDescent="0.25">
      <c r="A17" s="1" t="s">
        <v>11</v>
      </c>
      <c r="B17" s="26"/>
      <c r="T17" s="155" t="s">
        <v>11</v>
      </c>
      <c r="U17" s="152">
        <f>(U15)+(U16)</f>
        <v>0</v>
      </c>
      <c r="V17" s="152">
        <f>(V15)+(V16)</f>
        <v>0</v>
      </c>
      <c r="W17" s="152">
        <f t="shared" si="13"/>
        <v>0</v>
      </c>
      <c r="X17" s="153" t="str">
        <f t="shared" si="14"/>
        <v/>
      </c>
      <c r="Y17" s="152">
        <f>(Y15)+(Y16)</f>
        <v>5850</v>
      </c>
      <c r="Z17" s="152">
        <f>(Z15)+(Z16)</f>
        <v>0</v>
      </c>
      <c r="AA17" s="152">
        <f t="shared" si="15"/>
        <v>5850</v>
      </c>
      <c r="AB17" s="153" t="str">
        <f t="shared" si="16"/>
        <v/>
      </c>
      <c r="AC17" s="152">
        <f t="shared" si="17"/>
        <v>5850</v>
      </c>
    </row>
    <row r="18" spans="1:29" x14ac:dyDescent="0.25">
      <c r="A18" s="1" t="s">
        <v>12</v>
      </c>
      <c r="B18" s="26"/>
      <c r="D18" s="139" t="s">
        <v>12</v>
      </c>
      <c r="E18" s="140"/>
      <c r="F18" s="140"/>
      <c r="G18" s="141">
        <f>(E18)-(F18)</f>
        <v>0</v>
      </c>
      <c r="H18" s="142" t="str">
        <f>IF(F18=0,"",(E18)/(F18))</f>
        <v/>
      </c>
      <c r="I18" s="140"/>
      <c r="J18" s="140"/>
      <c r="K18" s="141">
        <f>(I18)-(J18)</f>
        <v>0</v>
      </c>
      <c r="L18" s="142" t="str">
        <f>IF(J18=0,"",(I18)/(J18))</f>
        <v/>
      </c>
      <c r="M18" s="141">
        <f>(E18)+(I18)</f>
        <v>0</v>
      </c>
      <c r="N18" s="141"/>
      <c r="O18" s="141">
        <f>(F18)+(J18)</f>
        <v>0</v>
      </c>
      <c r="P18" s="141"/>
      <c r="Q18" s="141">
        <f>(M18)-(O18)</f>
        <v>0</v>
      </c>
      <c r="R18" s="141"/>
      <c r="S18" s="142" t="str">
        <f>IF(O18=0,"",(M18)/(O18))</f>
        <v/>
      </c>
      <c r="T18" s="155" t="s">
        <v>12</v>
      </c>
      <c r="U18" s="149"/>
      <c r="V18" s="149"/>
      <c r="W18" s="150">
        <f t="shared" si="13"/>
        <v>0</v>
      </c>
      <c r="X18" s="151" t="str">
        <f t="shared" si="14"/>
        <v/>
      </c>
      <c r="Y18" s="149"/>
      <c r="Z18" s="149"/>
      <c r="AA18" s="150">
        <f t="shared" si="15"/>
        <v>0</v>
      </c>
      <c r="AB18" s="151" t="str">
        <f t="shared" si="16"/>
        <v/>
      </c>
      <c r="AC18" s="150">
        <f t="shared" si="17"/>
        <v>0</v>
      </c>
    </row>
    <row r="19" spans="1:29" x14ac:dyDescent="0.25">
      <c r="A19" s="1" t="s">
        <v>227</v>
      </c>
      <c r="B19" s="44"/>
      <c r="D19" s="139" t="s">
        <v>227</v>
      </c>
      <c r="E19" s="141">
        <f>24568.65</f>
        <v>24568.65</v>
      </c>
      <c r="F19" s="141">
        <f>19250.01</f>
        <v>19250.009999999998</v>
      </c>
      <c r="G19" s="141">
        <f>(E19)-(F19)</f>
        <v>5318.6400000000031</v>
      </c>
      <c r="H19" s="142">
        <f>IF(F19=0,"",(E19)/(F19))</f>
        <v>1.2762928434842373</v>
      </c>
      <c r="I19" s="140"/>
      <c r="J19" s="140"/>
      <c r="K19" s="141">
        <f>(I19)-(J19)</f>
        <v>0</v>
      </c>
      <c r="L19" s="142" t="str">
        <f>IF(J19=0,"",(I19)/(J19))</f>
        <v/>
      </c>
      <c r="M19" s="141">
        <f>(E19)+(I19)</f>
        <v>24568.65</v>
      </c>
      <c r="N19" s="141"/>
      <c r="O19" s="141">
        <f>(F19)+(J19)</f>
        <v>19250.009999999998</v>
      </c>
      <c r="P19" s="141"/>
      <c r="Q19" s="141">
        <f>(M19)-(O19)</f>
        <v>5318.6400000000031</v>
      </c>
      <c r="R19" s="141"/>
      <c r="S19" s="142">
        <f>IF(O19=0,"",(M19)/(O19))</f>
        <v>1.2762928434842373</v>
      </c>
      <c r="T19" s="155" t="s">
        <v>227</v>
      </c>
      <c r="U19" s="150">
        <f>28420.74</f>
        <v>28420.74</v>
      </c>
      <c r="V19" s="149"/>
      <c r="W19" s="150">
        <f t="shared" si="13"/>
        <v>28420.74</v>
      </c>
      <c r="X19" s="151" t="str">
        <f t="shared" si="14"/>
        <v/>
      </c>
      <c r="Y19" s="149"/>
      <c r="Z19" s="149"/>
      <c r="AA19" s="150">
        <f t="shared" si="15"/>
        <v>0</v>
      </c>
      <c r="AB19" s="151" t="str">
        <f t="shared" si="16"/>
        <v/>
      </c>
      <c r="AC19" s="150">
        <f t="shared" si="17"/>
        <v>28420.74</v>
      </c>
    </row>
    <row r="20" spans="1:29" x14ac:dyDescent="0.25">
      <c r="A20" s="1" t="s">
        <v>228</v>
      </c>
      <c r="B20" s="44"/>
      <c r="D20" s="139" t="s">
        <v>228</v>
      </c>
      <c r="E20" s="140"/>
      <c r="F20" s="140"/>
      <c r="G20" s="141">
        <f>(E20)-(F20)</f>
        <v>0</v>
      </c>
      <c r="H20" s="142" t="str">
        <f>IF(F20=0,"",(E20)/(F20))</f>
        <v/>
      </c>
      <c r="I20" s="141">
        <f>37950.7</f>
        <v>37950.699999999997</v>
      </c>
      <c r="J20" s="141">
        <f>39999.99</f>
        <v>39999.99</v>
      </c>
      <c r="K20" s="141">
        <f>(I20)-(J20)</f>
        <v>-2049.2900000000009</v>
      </c>
      <c r="L20" s="142">
        <f>IF(J20=0,"",(I20)/(J20))</f>
        <v>0.9487677371919343</v>
      </c>
      <c r="M20" s="141">
        <f>(E20)+(I20)</f>
        <v>37950.699999999997</v>
      </c>
      <c r="N20" s="141"/>
      <c r="O20" s="141">
        <f>(F20)+(J20)</f>
        <v>39999.99</v>
      </c>
      <c r="P20" s="141"/>
      <c r="Q20" s="141">
        <f>(M20)-(O20)</f>
        <v>-2049.2900000000009</v>
      </c>
      <c r="R20" s="141"/>
      <c r="S20" s="142">
        <f>IF(O20=0,"",(M20)/(O20))</f>
        <v>0.9487677371919343</v>
      </c>
      <c r="T20" s="155" t="s">
        <v>228</v>
      </c>
      <c r="U20" s="149"/>
      <c r="V20" s="149"/>
      <c r="W20" s="150">
        <f t="shared" si="13"/>
        <v>0</v>
      </c>
      <c r="X20" s="151" t="str">
        <f t="shared" si="14"/>
        <v/>
      </c>
      <c r="Y20" s="150">
        <f>35140.25</f>
        <v>35140.25</v>
      </c>
      <c r="Z20" s="149"/>
      <c r="AA20" s="150">
        <f t="shared" si="15"/>
        <v>35140.25</v>
      </c>
      <c r="AB20" s="151" t="str">
        <f t="shared" si="16"/>
        <v/>
      </c>
      <c r="AC20" s="150">
        <f t="shared" si="17"/>
        <v>35140.25</v>
      </c>
    </row>
    <row r="21" spans="1:29" x14ac:dyDescent="0.25">
      <c r="A21" s="1" t="s">
        <v>229</v>
      </c>
      <c r="B21" s="44"/>
    </row>
    <row r="22" spans="1:29" x14ac:dyDescent="0.25">
      <c r="A22" s="1" t="s">
        <v>13</v>
      </c>
      <c r="B22" s="45">
        <v>2</v>
      </c>
      <c r="D22" s="139" t="s">
        <v>13</v>
      </c>
      <c r="E22" s="143">
        <f>((E18)+(E19))+(E20)</f>
        <v>24568.65</v>
      </c>
      <c r="F22" s="143">
        <f>((F18)+(F19))+(F20)</f>
        <v>19250.009999999998</v>
      </c>
      <c r="G22" s="143">
        <f>(E22)-(F22)</f>
        <v>5318.6400000000031</v>
      </c>
      <c r="H22" s="144">
        <f>IF(F22=0,"",(E22)/(F22))</f>
        <v>1.2762928434842373</v>
      </c>
      <c r="I22" s="143">
        <f>((I18)+(I19))+(I20)</f>
        <v>37950.699999999997</v>
      </c>
      <c r="J22" s="143">
        <f>((J18)+(J19))+(J20)</f>
        <v>39999.99</v>
      </c>
      <c r="K22" s="143">
        <f>(I22)-(J22)</f>
        <v>-2049.2900000000009</v>
      </c>
      <c r="L22" s="144">
        <f>IF(J22=0,"",(I22)/(J22))</f>
        <v>0.9487677371919343</v>
      </c>
      <c r="M22" s="143">
        <f>(E22)+(I22)</f>
        <v>62519.35</v>
      </c>
      <c r="N22" s="143"/>
      <c r="O22" s="143">
        <f>(F22)+(J22)</f>
        <v>59250</v>
      </c>
      <c r="P22" s="143"/>
      <c r="Q22" s="143">
        <f>(M22)-(O22)</f>
        <v>3269.3499999999985</v>
      </c>
      <c r="R22" s="143"/>
      <c r="S22" s="144">
        <f>IF(O22=0,"",(M22)/(O22))</f>
        <v>1.0551789029535865</v>
      </c>
      <c r="T22" s="155" t="s">
        <v>13</v>
      </c>
      <c r="U22" s="152">
        <f>((U18)+(U19))+(U20)</f>
        <v>28420.74</v>
      </c>
      <c r="V22" s="152">
        <f>((V18)+(V19))+(V20)</f>
        <v>0</v>
      </c>
      <c r="W22" s="152">
        <f>(U22)-(V22)</f>
        <v>28420.74</v>
      </c>
      <c r="X22" s="153" t="str">
        <f>IF(V22=0,"",(U22)/(V22))</f>
        <v/>
      </c>
      <c r="Y22" s="152">
        <f>((Y18)+(Y19))+(Y20)</f>
        <v>35140.25</v>
      </c>
      <c r="Z22" s="152">
        <f>((Z18)+(Z19))+(Z20)</f>
        <v>0</v>
      </c>
      <c r="AA22" s="152">
        <f>(Y22)-(Z22)</f>
        <v>35140.25</v>
      </c>
      <c r="AB22" s="153" t="str">
        <f>IF(Z22=0,"",(Y22)/(Z22))</f>
        <v/>
      </c>
      <c r="AC22" s="152">
        <f>(U22)+(Y22)</f>
        <v>63560.990000000005</v>
      </c>
    </row>
    <row r="23" spans="1:29" x14ac:dyDescent="0.25">
      <c r="A23" s="1" t="s">
        <v>230</v>
      </c>
      <c r="B23" s="26"/>
      <c r="T23" s="155" t="s">
        <v>230</v>
      </c>
      <c r="U23" s="150">
        <f>0</f>
        <v>0</v>
      </c>
      <c r="V23" s="149"/>
      <c r="W23" s="150">
        <f>(U23)-(V23)</f>
        <v>0</v>
      </c>
      <c r="X23" s="151" t="str">
        <f>IF(V23=0,"",(U23)/(V23))</f>
        <v/>
      </c>
      <c r="Y23" s="149"/>
      <c r="Z23" s="149"/>
      <c r="AA23" s="150">
        <f>(Y23)-(Z23)</f>
        <v>0</v>
      </c>
      <c r="AB23" s="151" t="str">
        <f>IF(Z23=0,"",(Y23)/(Z23))</f>
        <v/>
      </c>
      <c r="AC23" s="150">
        <f>(U23)+(Y23)</f>
        <v>0</v>
      </c>
    </row>
    <row r="24" spans="1:29" x14ac:dyDescent="0.25">
      <c r="A24" s="1" t="s">
        <v>14</v>
      </c>
      <c r="B24" s="44"/>
      <c r="T24" s="155" t="s">
        <v>14</v>
      </c>
      <c r="U24" s="149"/>
      <c r="V24" s="149"/>
      <c r="W24" s="150">
        <f>(U24)-(V24)</f>
        <v>0</v>
      </c>
      <c r="X24" s="151" t="str">
        <f>IF(V24=0,"",(U24)/(V24))</f>
        <v/>
      </c>
      <c r="Y24" s="150">
        <f>0</f>
        <v>0</v>
      </c>
      <c r="Z24" s="149"/>
      <c r="AA24" s="150">
        <f>(Y24)-(Z24)</f>
        <v>0</v>
      </c>
      <c r="AB24" s="151" t="str">
        <f>IF(Z24=0,"",(Y24)/(Z24))</f>
        <v/>
      </c>
      <c r="AC24" s="150">
        <f>(U24)+(Y24)</f>
        <v>0</v>
      </c>
    </row>
    <row r="25" spans="1:29" x14ac:dyDescent="0.25">
      <c r="A25" s="1" t="s">
        <v>15</v>
      </c>
      <c r="B25" s="45"/>
      <c r="D25" s="139" t="s">
        <v>15</v>
      </c>
      <c r="E25" s="143">
        <f>(((E8)+(E11))+(E14))+(E22)</f>
        <v>39422.370000000003</v>
      </c>
      <c r="F25" s="143">
        <f>(((F8)+(F11))+(F14))+(F22)</f>
        <v>39250.009999999995</v>
      </c>
      <c r="G25" s="143">
        <f>(E25)-(F25)</f>
        <v>172.36000000000786</v>
      </c>
      <c r="H25" s="144">
        <f>IF(F25=0,"",(E25)/(F25))</f>
        <v>1.0043913364608061</v>
      </c>
      <c r="I25" s="143">
        <f>(((I8)+(I11))+(I14))+(I22)</f>
        <v>37950.699999999997</v>
      </c>
      <c r="J25" s="143">
        <f>(((J8)+(J11))+(J14))+(J22)</f>
        <v>39999.99</v>
      </c>
      <c r="K25" s="143">
        <f>(I25)-(J25)</f>
        <v>-2049.2900000000009</v>
      </c>
      <c r="L25" s="144">
        <f>IF(J25=0,"",(I25)/(J25))</f>
        <v>0.9487677371919343</v>
      </c>
      <c r="M25" s="143">
        <f>(E25)+(I25)</f>
        <v>77373.070000000007</v>
      </c>
      <c r="N25" s="143"/>
      <c r="O25" s="143">
        <f>(F25)+(J25)</f>
        <v>79250</v>
      </c>
      <c r="P25" s="143"/>
      <c r="Q25" s="143">
        <f>(M25)-(O25)</f>
        <v>-1876.929999999993</v>
      </c>
      <c r="R25" s="143"/>
      <c r="S25" s="144">
        <f>IF(O25=0,"",(M25)/(O25))</f>
        <v>0.97631634069400641</v>
      </c>
      <c r="T25" s="155" t="s">
        <v>15</v>
      </c>
      <c r="U25" s="152">
        <f>(((((U8)+(U14))+(U17))+(U22))+(U23))+(U24)</f>
        <v>48809.5</v>
      </c>
      <c r="V25" s="152">
        <f>(((((V8)+(V14))+(V17))+(V22))+(V23))+(V24)</f>
        <v>0</v>
      </c>
      <c r="W25" s="152">
        <f>(U25)-(V25)</f>
        <v>48809.5</v>
      </c>
      <c r="X25" s="153" t="str">
        <f>IF(V25=0,"",(U25)/(V25))</f>
        <v/>
      </c>
      <c r="Y25" s="152">
        <f>(((((Y8)+(Y14))+(Y17))+(Y22))+(Y23))+(Y24)</f>
        <v>40990.25</v>
      </c>
      <c r="Z25" s="152">
        <f>(((((Z8)+(Z14))+(Z17))+(Z22))+(Z23))+(Z24)</f>
        <v>0</v>
      </c>
      <c r="AA25" s="152">
        <f>(Y25)-(Z25)</f>
        <v>40990.25</v>
      </c>
      <c r="AB25" s="153" t="str">
        <f>IF(Z25=0,"",(Y25)/(Z25))</f>
        <v/>
      </c>
      <c r="AC25" s="152">
        <f>(U25)+(Y25)</f>
        <v>89799.75</v>
      </c>
    </row>
    <row r="26" spans="1:29" x14ac:dyDescent="0.25">
      <c r="A26" s="1" t="s">
        <v>16</v>
      </c>
      <c r="B26" s="45"/>
      <c r="D26" s="139" t="s">
        <v>16</v>
      </c>
      <c r="E26" s="143">
        <f>(E25)-(0)</f>
        <v>39422.370000000003</v>
      </c>
      <c r="F26" s="143">
        <f>(F25)-(0)</f>
        <v>39250.009999999995</v>
      </c>
      <c r="G26" s="143">
        <f>(E26)-(F26)</f>
        <v>172.36000000000786</v>
      </c>
      <c r="H26" s="144">
        <f>IF(F26=0,"",(E26)/(F26))</f>
        <v>1.0043913364608061</v>
      </c>
      <c r="I26" s="143">
        <f>(I25)-(0)</f>
        <v>37950.699999999997</v>
      </c>
      <c r="J26" s="143">
        <f>(J25)-(0)</f>
        <v>39999.99</v>
      </c>
      <c r="K26" s="143">
        <f>(I26)-(J26)</f>
        <v>-2049.2900000000009</v>
      </c>
      <c r="L26" s="144">
        <f>IF(J26=0,"",(I26)/(J26))</f>
        <v>0.9487677371919343</v>
      </c>
      <c r="M26" s="143">
        <f>(E26)+(I26)</f>
        <v>77373.070000000007</v>
      </c>
      <c r="N26" s="143"/>
      <c r="O26" s="143">
        <f>(F26)+(J26)</f>
        <v>79250</v>
      </c>
      <c r="P26" s="143"/>
      <c r="Q26" s="143">
        <f>(M26)-(O26)</f>
        <v>-1876.929999999993</v>
      </c>
      <c r="R26" s="143"/>
      <c r="S26" s="144">
        <f>IF(O26=0,"",(M26)/(O26))</f>
        <v>0.97631634069400641</v>
      </c>
      <c r="T26" s="155" t="s">
        <v>16</v>
      </c>
      <c r="U26" s="152">
        <f>(U25)-(0)</f>
        <v>48809.5</v>
      </c>
      <c r="V26" s="152">
        <f>(V25)-(0)</f>
        <v>0</v>
      </c>
      <c r="W26" s="152">
        <f>(U26)-(V26)</f>
        <v>48809.5</v>
      </c>
      <c r="X26" s="153" t="str">
        <f>IF(V26=0,"",(U26)/(V26))</f>
        <v/>
      </c>
      <c r="Y26" s="152">
        <f>(Y25)-(0)</f>
        <v>40990.25</v>
      </c>
      <c r="Z26" s="152">
        <f>(Z25)-(0)</f>
        <v>0</v>
      </c>
      <c r="AA26" s="152">
        <f>(Y26)-(Z26)</f>
        <v>40990.25</v>
      </c>
      <c r="AB26" s="153" t="str">
        <f>IF(Z26=0,"",(Y26)/(Z26))</f>
        <v/>
      </c>
      <c r="AC26" s="152">
        <f>(U26)+(Y26)</f>
        <v>89799.75</v>
      </c>
    </row>
    <row r="27" spans="1:29" x14ac:dyDescent="0.25">
      <c r="A27" s="1" t="s">
        <v>17</v>
      </c>
      <c r="B27" s="43"/>
      <c r="D27" s="139" t="s">
        <v>17</v>
      </c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55" t="s">
        <v>17</v>
      </c>
      <c r="U27" s="149"/>
      <c r="V27" s="149"/>
      <c r="W27" s="149"/>
      <c r="X27" s="149"/>
      <c r="Y27" s="149"/>
      <c r="Z27" s="149"/>
      <c r="AA27" s="149"/>
      <c r="AB27" s="149"/>
      <c r="AC27" s="149"/>
    </row>
    <row r="28" spans="1:29" x14ac:dyDescent="0.25">
      <c r="A28" s="1" t="s">
        <v>18</v>
      </c>
      <c r="B28" s="44"/>
      <c r="D28" s="139" t="s">
        <v>18</v>
      </c>
      <c r="E28" s="140"/>
      <c r="F28" s="140"/>
      <c r="G28" s="141">
        <f t="shared" ref="G28" si="18">(E28)-(F28)</f>
        <v>0</v>
      </c>
      <c r="H28" s="142" t="str">
        <f t="shared" ref="H28" si="19">IF(F28=0,"",(E28)/(F28))</f>
        <v/>
      </c>
      <c r="I28" s="140"/>
      <c r="J28" s="140"/>
      <c r="K28" s="141">
        <f t="shared" ref="K28" si="20">(I28)-(J28)</f>
        <v>0</v>
      </c>
      <c r="L28" s="142" t="str">
        <f t="shared" ref="L28" si="21">IF(J28=0,"",(I28)/(J28))</f>
        <v/>
      </c>
      <c r="M28" s="141">
        <f t="shared" ref="M28" si="22">(E28)+(I28)</f>
        <v>0</v>
      </c>
      <c r="N28" s="141"/>
      <c r="O28" s="141">
        <f>(F28)+(J28)</f>
        <v>0</v>
      </c>
      <c r="P28" s="141"/>
      <c r="Q28" s="141">
        <f t="shared" ref="Q28" si="23">(M28)-(O28)</f>
        <v>0</v>
      </c>
      <c r="R28" s="141"/>
      <c r="S28" s="142" t="str">
        <f t="shared" ref="S28" si="24">IF(O28=0,"",(M28)/(O28))</f>
        <v/>
      </c>
      <c r="T28" s="155" t="s">
        <v>18</v>
      </c>
      <c r="U28" s="149"/>
      <c r="V28" s="149"/>
      <c r="W28" s="150">
        <f t="shared" ref="W28:W30" si="25">(U28)-(V28)</f>
        <v>0</v>
      </c>
      <c r="X28" s="151" t="str">
        <f t="shared" ref="X28:X30" si="26">IF(V28=0,"",(U28)/(V28))</f>
        <v/>
      </c>
      <c r="Y28" s="149"/>
      <c r="Z28" s="149"/>
      <c r="AA28" s="150">
        <f t="shared" ref="AA28:AA30" si="27">(Y28)-(Z28)</f>
        <v>0</v>
      </c>
      <c r="AB28" s="151" t="str">
        <f t="shared" ref="AB28:AB30" si="28">IF(Z28=0,"",(Y28)/(Z28))</f>
        <v/>
      </c>
      <c r="AC28" s="150">
        <f t="shared" ref="AC28:AC30" si="29">(U28)+(Y28)</f>
        <v>0</v>
      </c>
    </row>
    <row r="29" spans="1:29" x14ac:dyDescent="0.25">
      <c r="A29" s="1" t="s">
        <v>19</v>
      </c>
      <c r="B29" s="26">
        <v>7</v>
      </c>
      <c r="T29" s="155" t="s">
        <v>19</v>
      </c>
      <c r="U29" s="150">
        <f>63.5</f>
        <v>63.5</v>
      </c>
      <c r="V29" s="149"/>
      <c r="W29" s="150">
        <f t="shared" si="25"/>
        <v>63.5</v>
      </c>
      <c r="X29" s="151" t="str">
        <f t="shared" si="26"/>
        <v/>
      </c>
      <c r="Y29" s="150">
        <f>127</f>
        <v>127</v>
      </c>
      <c r="Z29" s="149"/>
      <c r="AA29" s="150">
        <f t="shared" si="27"/>
        <v>127</v>
      </c>
      <c r="AB29" s="151" t="str">
        <f t="shared" si="28"/>
        <v/>
      </c>
      <c r="AC29" s="150">
        <f t="shared" si="29"/>
        <v>190.5</v>
      </c>
    </row>
    <row r="30" spans="1:29" x14ac:dyDescent="0.25">
      <c r="A30" s="1" t="s">
        <v>231</v>
      </c>
      <c r="B30" s="26">
        <v>7</v>
      </c>
      <c r="D30" s="139" t="s">
        <v>231</v>
      </c>
      <c r="E30" s="141">
        <f>234</f>
        <v>234</v>
      </c>
      <c r="F30" s="141">
        <f>2500</f>
        <v>2500</v>
      </c>
      <c r="G30" s="141">
        <f>(E30)-(F30)</f>
        <v>-2266</v>
      </c>
      <c r="H30" s="142">
        <f>IF(F30=0,"",(E30)/(F30))</f>
        <v>9.3600000000000003E-2</v>
      </c>
      <c r="I30" s="140"/>
      <c r="J30" s="140"/>
      <c r="K30" s="141">
        <f>(I30)-(J30)</f>
        <v>0</v>
      </c>
      <c r="L30" s="142" t="str">
        <f>IF(J30=0,"",(I30)/(J30))</f>
        <v/>
      </c>
      <c r="M30" s="141">
        <f>(E30)+(I30)</f>
        <v>234</v>
      </c>
      <c r="N30" s="141"/>
      <c r="O30" s="141">
        <f>(F30)+(J30)</f>
        <v>2500</v>
      </c>
      <c r="P30" s="141"/>
      <c r="Q30" s="141">
        <f>(M30)-(O30)</f>
        <v>-2266</v>
      </c>
      <c r="R30" s="141"/>
      <c r="S30" s="142">
        <f>IF(O30=0,"",(M30)/(O30))</f>
        <v>9.3600000000000003E-2</v>
      </c>
      <c r="T30" s="155" t="s">
        <v>231</v>
      </c>
      <c r="U30" s="150">
        <f>1840.36</f>
        <v>1840.36</v>
      </c>
      <c r="V30" s="149"/>
      <c r="W30" s="150">
        <f t="shared" si="25"/>
        <v>1840.36</v>
      </c>
      <c r="X30" s="151" t="str">
        <f t="shared" si="26"/>
        <v/>
      </c>
      <c r="Y30" s="149"/>
      <c r="Z30" s="149"/>
      <c r="AA30" s="150">
        <f t="shared" si="27"/>
        <v>0</v>
      </c>
      <c r="AB30" s="151" t="str">
        <f t="shared" si="28"/>
        <v/>
      </c>
      <c r="AC30" s="150">
        <f t="shared" si="29"/>
        <v>1840.36</v>
      </c>
    </row>
    <row r="31" spans="1:29" x14ac:dyDescent="0.25">
      <c r="A31" s="1" t="s">
        <v>20</v>
      </c>
      <c r="B31" s="26">
        <v>7</v>
      </c>
      <c r="D31" s="139" t="s">
        <v>20</v>
      </c>
      <c r="E31" s="140"/>
      <c r="F31" s="140"/>
      <c r="G31" s="141">
        <f>(E31)-(F31)</f>
        <v>0</v>
      </c>
      <c r="H31" s="142" t="str">
        <f>IF(F31=0,"",(E31)/(F31))</f>
        <v/>
      </c>
      <c r="I31" s="140"/>
      <c r="J31" s="141">
        <f>0</f>
        <v>0</v>
      </c>
      <c r="K31" s="141">
        <f>(I31)-(J31)</f>
        <v>0</v>
      </c>
      <c r="L31" s="142" t="str">
        <f>IF(J31=0,"",(I31)/(J31))</f>
        <v/>
      </c>
      <c r="M31" s="141">
        <f>(E31)+(I31)</f>
        <v>0</v>
      </c>
      <c r="N31" s="141"/>
      <c r="O31" s="141">
        <f>(F31)+(J31)</f>
        <v>0</v>
      </c>
      <c r="P31" s="141"/>
      <c r="Q31" s="141">
        <f>(M31)-(O31)</f>
        <v>0</v>
      </c>
      <c r="R31" s="141"/>
      <c r="S31" s="142" t="str">
        <f>IF(O31=0,"",(M31)/(O31))</f>
        <v/>
      </c>
    </row>
    <row r="32" spans="1:29" x14ac:dyDescent="0.25">
      <c r="A32" s="1" t="s">
        <v>232</v>
      </c>
      <c r="B32" s="26">
        <v>7</v>
      </c>
      <c r="D32" s="139" t="s">
        <v>232</v>
      </c>
      <c r="E32" s="140"/>
      <c r="F32" s="141">
        <f>0</f>
        <v>0</v>
      </c>
      <c r="G32" s="141">
        <f>(E32)-(F32)</f>
        <v>0</v>
      </c>
      <c r="H32" s="142" t="str">
        <f>IF(F32=0,"",(E32)/(F32))</f>
        <v/>
      </c>
      <c r="I32" s="140"/>
      <c r="J32" s="140"/>
      <c r="K32" s="141">
        <f>(I32)-(J32)</f>
        <v>0</v>
      </c>
      <c r="L32" s="142" t="str">
        <f>IF(J32=0,"",(I32)/(J32))</f>
        <v/>
      </c>
      <c r="M32" s="141">
        <f>(E32)+(I32)</f>
        <v>0</v>
      </c>
      <c r="N32" s="141"/>
      <c r="O32" s="141">
        <f>(F32)+(J32)</f>
        <v>0</v>
      </c>
      <c r="P32" s="141"/>
      <c r="Q32" s="141">
        <f>(M32)-(O32)</f>
        <v>0</v>
      </c>
      <c r="R32" s="141"/>
      <c r="S32" s="142" t="str">
        <f>IF(O32=0,"",(M32)/(O32))</f>
        <v/>
      </c>
      <c r="T32" s="155" t="s">
        <v>232</v>
      </c>
      <c r="U32" s="150">
        <f>4661.25</f>
        <v>4661.25</v>
      </c>
      <c r="V32" s="149"/>
      <c r="W32" s="150">
        <f>(U32)-(V32)</f>
        <v>4661.25</v>
      </c>
      <c r="X32" s="151" t="str">
        <f>IF(V32=0,"",(U32)/(V32))</f>
        <v/>
      </c>
      <c r="Y32" s="149"/>
      <c r="Z32" s="149"/>
      <c r="AA32" s="150">
        <f>(Y32)-(Z32)</f>
        <v>0</v>
      </c>
      <c r="AB32" s="151" t="str">
        <f>IF(Z32=0,"",(Y32)/(Z32))</f>
        <v/>
      </c>
      <c r="AC32" s="150">
        <f>(U32)+(Y32)</f>
        <v>4661.25</v>
      </c>
    </row>
    <row r="33" spans="1:29" x14ac:dyDescent="0.25">
      <c r="A33" s="1" t="s">
        <v>21</v>
      </c>
      <c r="B33" s="26">
        <v>7</v>
      </c>
      <c r="D33" s="139" t="s">
        <v>21</v>
      </c>
      <c r="E33" s="140"/>
      <c r="F33" s="140"/>
      <c r="G33" s="141">
        <f>(E33)-(F33)</f>
        <v>0</v>
      </c>
      <c r="H33" s="142" t="str">
        <f>IF(F33=0,"",(E33)/(F33))</f>
        <v/>
      </c>
      <c r="I33" s="141">
        <f>27.84</f>
        <v>27.84</v>
      </c>
      <c r="J33" s="141">
        <f>300</f>
        <v>300</v>
      </c>
      <c r="K33" s="141">
        <f>(I33)-(J33)</f>
        <v>-272.16000000000003</v>
      </c>
      <c r="L33" s="142">
        <f>IF(J33=0,"",(I33)/(J33))</f>
        <v>9.2799999999999994E-2</v>
      </c>
      <c r="M33" s="141">
        <f>(E33)+(I33)</f>
        <v>27.84</v>
      </c>
      <c r="N33" s="141"/>
      <c r="O33" s="141">
        <f>(F33)+(J33)</f>
        <v>300</v>
      </c>
      <c r="P33" s="141"/>
      <c r="Q33" s="141">
        <f>(M33)-(O33)</f>
        <v>-272.16000000000003</v>
      </c>
      <c r="R33" s="141"/>
      <c r="S33" s="142">
        <f>IF(O33=0,"",(M33)/(O33))</f>
        <v>9.2799999999999994E-2</v>
      </c>
      <c r="T33" s="155" t="s">
        <v>21</v>
      </c>
      <c r="U33" s="150">
        <f>1022</f>
        <v>1022</v>
      </c>
      <c r="V33" s="149"/>
      <c r="W33" s="150">
        <f>(U33)-(V33)</f>
        <v>1022</v>
      </c>
      <c r="X33" s="151" t="str">
        <f>IF(V33=0,"",(U33)/(V33))</f>
        <v/>
      </c>
      <c r="Y33" s="149"/>
      <c r="Z33" s="149"/>
      <c r="AA33" s="150">
        <f>(Y33)-(Z33)</f>
        <v>0</v>
      </c>
      <c r="AB33" s="151" t="str">
        <f>IF(Z33=0,"",(Y33)/(Z33))</f>
        <v/>
      </c>
      <c r="AC33" s="150">
        <f>(U33)+(Y33)</f>
        <v>1022</v>
      </c>
    </row>
    <row r="34" spans="1:29" x14ac:dyDescent="0.25">
      <c r="A34" s="1" t="s">
        <v>22</v>
      </c>
      <c r="B34" s="44"/>
    </row>
    <row r="35" spans="1:29" x14ac:dyDescent="0.25">
      <c r="A35" s="1" t="s">
        <v>23</v>
      </c>
      <c r="B35" s="44"/>
      <c r="D35" s="139" t="s">
        <v>23</v>
      </c>
      <c r="E35" s="140"/>
      <c r="F35" s="141">
        <f>611.04</f>
        <v>611.04</v>
      </c>
      <c r="G35" s="141">
        <f>(E35)-(F35)</f>
        <v>-611.04</v>
      </c>
      <c r="H35" s="142">
        <f>IF(F35=0,"",(E35)/(F35))</f>
        <v>0</v>
      </c>
      <c r="I35" s="141">
        <f>87</f>
        <v>87</v>
      </c>
      <c r="J35" s="141">
        <f>1167.6</f>
        <v>1167.5999999999999</v>
      </c>
      <c r="K35" s="141">
        <f>(I35)-(J35)</f>
        <v>-1080.5999999999999</v>
      </c>
      <c r="L35" s="142">
        <f>IF(J35=0,"",(I35)/(J35))</f>
        <v>7.4511819116135664E-2</v>
      </c>
      <c r="M35" s="141">
        <f>(E35)+(I35)</f>
        <v>87</v>
      </c>
      <c r="N35" s="141"/>
      <c r="O35" s="141">
        <f>(F35)+(J35)</f>
        <v>1778.6399999999999</v>
      </c>
      <c r="P35" s="141"/>
      <c r="Q35" s="141">
        <f>(M35)-(O35)</f>
        <v>-1691.6399999999999</v>
      </c>
      <c r="R35" s="141"/>
      <c r="S35" s="142">
        <f>IF(O35=0,"",(M35)/(O35))</f>
        <v>4.8913776818243153E-2</v>
      </c>
      <c r="T35" s="155" t="s">
        <v>23</v>
      </c>
      <c r="U35" s="150">
        <f>548.4</f>
        <v>548.4</v>
      </c>
      <c r="V35" s="149"/>
      <c r="W35" s="150">
        <f>(U35)-(V35)</f>
        <v>548.4</v>
      </c>
      <c r="X35" s="151" t="str">
        <f>IF(V35=0,"",(U35)/(V35))</f>
        <v/>
      </c>
      <c r="Y35" s="150">
        <f>1122.8</f>
        <v>1122.8</v>
      </c>
      <c r="Z35" s="149"/>
      <c r="AA35" s="150">
        <f>(Y35)-(Z35)</f>
        <v>1122.8</v>
      </c>
      <c r="AB35" s="151" t="str">
        <f>IF(Z35=0,"",(Y35)/(Z35))</f>
        <v/>
      </c>
      <c r="AC35" s="150">
        <f>(U35)+(Y35)</f>
        <v>1671.1999999999998</v>
      </c>
    </row>
    <row r="36" spans="1:29" x14ac:dyDescent="0.25">
      <c r="A36" s="70" t="s">
        <v>24</v>
      </c>
    </row>
    <row r="37" spans="1:29" ht="23.25" x14ac:dyDescent="0.25">
      <c r="A37" s="1" t="s">
        <v>25</v>
      </c>
      <c r="B37" s="45" t="s">
        <v>237</v>
      </c>
      <c r="D37" s="139" t="s">
        <v>25</v>
      </c>
      <c r="E37" s="143">
        <f>(((((E28)+(E30))+(E31))+(E32))+(E33))+(E35)</f>
        <v>234</v>
      </c>
      <c r="F37" s="143">
        <f>(((((F28)+(F30))+(F31))+(F32))+(F33))+(F35)</f>
        <v>3111.04</v>
      </c>
      <c r="G37" s="143">
        <f>(E37)-(F37)</f>
        <v>-2877.04</v>
      </c>
      <c r="H37" s="144">
        <f>IF(F37=0,"",(E37)/(F37))</f>
        <v>7.5216004937255707E-2</v>
      </c>
      <c r="I37" s="143">
        <f>(((((I28)+(I30))+(I31))+(I32))+(I33))+(I35)</f>
        <v>114.84</v>
      </c>
      <c r="J37" s="143">
        <f>(((((J28)+(J30))+(J31))+(J32))+(J33))+(J35)</f>
        <v>1467.6</v>
      </c>
      <c r="K37" s="143">
        <f>(I37)-(J37)</f>
        <v>-1352.76</v>
      </c>
      <c r="L37" s="144">
        <f>IF(J37=0,"",(I37)/(J37))</f>
        <v>7.8250204415372046E-2</v>
      </c>
      <c r="M37" s="143">
        <f>(E37)+(I37)</f>
        <v>348.84000000000003</v>
      </c>
      <c r="N37" s="143"/>
      <c r="O37" s="143">
        <f>(F37)+(J37)</f>
        <v>4578.6399999999994</v>
      </c>
      <c r="P37" s="143"/>
      <c r="Q37" s="143">
        <f>(M37)-(O37)</f>
        <v>-4229.7999999999993</v>
      </c>
      <c r="R37" s="143"/>
      <c r="S37" s="144">
        <f>IF(O37=0,"",(M37)/(O37))</f>
        <v>7.6188562542589086E-2</v>
      </c>
      <c r="T37" s="155" t="s">
        <v>25</v>
      </c>
      <c r="U37" s="152">
        <f>(((((U28)+(U29))+(U30))+(U32))+(U33))+(U35)</f>
        <v>8135.5099999999993</v>
      </c>
      <c r="V37" s="152">
        <f>(((((V28)+(V29))+(V30))+(V32))+(V33))+(V35)</f>
        <v>0</v>
      </c>
      <c r="W37" s="152">
        <f t="shared" ref="W37:W55" si="30">(U37)-(V37)</f>
        <v>8135.5099999999993</v>
      </c>
      <c r="X37" s="153" t="str">
        <f t="shared" ref="X37:X55" si="31">IF(V37=0,"",(U37)/(V37))</f>
        <v/>
      </c>
      <c r="Y37" s="152">
        <f>(((((Y28)+(Y29))+(Y30))+(Y32))+(Y33))+(Y35)</f>
        <v>1249.8</v>
      </c>
      <c r="Z37" s="152">
        <f>(((((Z28)+(Z29))+(Z30))+(Z32))+(Z33))+(Z35)</f>
        <v>0</v>
      </c>
      <c r="AA37" s="152">
        <f t="shared" ref="AA37:AA55" si="32">(Y37)-(Z37)</f>
        <v>1249.8</v>
      </c>
      <c r="AB37" s="153" t="str">
        <f t="shared" ref="AB37:AB55" si="33">IF(Z37=0,"",(Y37)/(Z37))</f>
        <v/>
      </c>
      <c r="AC37" s="152">
        <f t="shared" ref="AC37:AC55" si="34">(U37)+(Y37)</f>
        <v>9385.31</v>
      </c>
    </row>
    <row r="38" spans="1:29" x14ac:dyDescent="0.25">
      <c r="A38" s="1" t="s">
        <v>26</v>
      </c>
      <c r="B38" s="44"/>
      <c r="D38" s="139" t="s">
        <v>26</v>
      </c>
      <c r="E38" s="140"/>
      <c r="F38" s="140"/>
      <c r="G38" s="141">
        <f>(E38)-(F38)</f>
        <v>0</v>
      </c>
      <c r="H38" s="142" t="str">
        <f>IF(F38=0,"",(E38)/(F38))</f>
        <v/>
      </c>
      <c r="I38" s="140"/>
      <c r="J38" s="140"/>
      <c r="K38" s="141">
        <f>(I38)-(J38)</f>
        <v>0</v>
      </c>
      <c r="L38" s="142" t="str">
        <f>IF(J38=0,"",(I38)/(J38))</f>
        <v/>
      </c>
      <c r="M38" s="141">
        <f>(E38)+(I38)</f>
        <v>0</v>
      </c>
      <c r="N38" s="141"/>
      <c r="O38" s="141">
        <f>(F38)+(J38)</f>
        <v>0</v>
      </c>
      <c r="P38" s="141"/>
      <c r="Q38" s="141">
        <f>(M38)-(O38)</f>
        <v>0</v>
      </c>
      <c r="R38" s="141"/>
      <c r="S38" s="142" t="str">
        <f>IF(O38=0,"",(M38)/(O38))</f>
        <v/>
      </c>
      <c r="T38" s="155" t="s">
        <v>26</v>
      </c>
      <c r="U38" s="149"/>
      <c r="V38" s="149"/>
      <c r="W38" s="150">
        <f t="shared" si="30"/>
        <v>0</v>
      </c>
      <c r="X38" s="151" t="str">
        <f t="shared" si="31"/>
        <v/>
      </c>
      <c r="Y38" s="149"/>
      <c r="Z38" s="149"/>
      <c r="AA38" s="150">
        <f t="shared" si="32"/>
        <v>0</v>
      </c>
      <c r="AB38" s="151" t="str">
        <f t="shared" si="33"/>
        <v/>
      </c>
      <c r="AC38" s="150">
        <f t="shared" si="34"/>
        <v>0</v>
      </c>
    </row>
    <row r="39" spans="1:29" x14ac:dyDescent="0.25">
      <c r="A39" s="1" t="s">
        <v>27</v>
      </c>
      <c r="B39" s="44">
        <v>4</v>
      </c>
      <c r="C39" t="s">
        <v>240</v>
      </c>
      <c r="D39" s="139" t="s">
        <v>27</v>
      </c>
      <c r="E39" s="141">
        <f>19487.84</f>
        <v>19487.84</v>
      </c>
      <c r="F39" s="141">
        <f>24066.81</f>
        <v>24066.81</v>
      </c>
      <c r="G39" s="141">
        <f>(E39)-(F39)</f>
        <v>-4578.9700000000012</v>
      </c>
      <c r="H39" s="142">
        <f>IF(F39=0,"",(E39)/(F39))</f>
        <v>0.80973922177471791</v>
      </c>
      <c r="I39" s="141">
        <f>45650</f>
        <v>45650</v>
      </c>
      <c r="J39" s="141">
        <f>51559.77</f>
        <v>51559.77</v>
      </c>
      <c r="K39" s="141">
        <f>(I39)-(J39)</f>
        <v>-5909.7699999999968</v>
      </c>
      <c r="L39" s="142">
        <f>IF(J39=0,"",(I39)/(J39))</f>
        <v>0.88538021019100754</v>
      </c>
      <c r="M39" s="141">
        <f>(E39)+(I39)</f>
        <v>65137.84</v>
      </c>
      <c r="N39" s="141"/>
      <c r="O39" s="141">
        <f>(F39)+(J39)</f>
        <v>75626.58</v>
      </c>
      <c r="P39" s="141"/>
      <c r="Q39" s="141">
        <f>(M39)-(O39)</f>
        <v>-10488.740000000005</v>
      </c>
      <c r="R39" s="141"/>
      <c r="S39" s="142">
        <f>IF(O39=0,"",(M39)/(O39))</f>
        <v>0.86130881496955169</v>
      </c>
      <c r="T39" s="155" t="s">
        <v>27</v>
      </c>
      <c r="U39" s="150">
        <f>20413.71</f>
        <v>20413.71</v>
      </c>
      <c r="V39" s="149"/>
      <c r="W39" s="150">
        <f t="shared" si="30"/>
        <v>20413.71</v>
      </c>
      <c r="X39" s="151" t="str">
        <f t="shared" si="31"/>
        <v/>
      </c>
      <c r="Y39" s="150">
        <f>43400.73</f>
        <v>43400.73</v>
      </c>
      <c r="Z39" s="149"/>
      <c r="AA39" s="150">
        <f t="shared" si="32"/>
        <v>43400.73</v>
      </c>
      <c r="AB39" s="151" t="str">
        <f t="shared" si="33"/>
        <v/>
      </c>
      <c r="AC39" s="150">
        <f t="shared" si="34"/>
        <v>63814.44</v>
      </c>
    </row>
    <row r="40" spans="1:29" x14ac:dyDescent="0.25">
      <c r="A40" s="1" t="s">
        <v>28</v>
      </c>
      <c r="B40" s="44">
        <v>4</v>
      </c>
      <c r="C40" t="s">
        <v>240</v>
      </c>
      <c r="T40" s="155" t="s">
        <v>28</v>
      </c>
      <c r="U40" s="150">
        <f>201.6</f>
        <v>201.6</v>
      </c>
      <c r="V40" s="149"/>
      <c r="W40" s="150">
        <f t="shared" si="30"/>
        <v>201.6</v>
      </c>
      <c r="X40" s="151" t="str">
        <f t="shared" si="31"/>
        <v/>
      </c>
      <c r="Y40" s="150">
        <f>403.2</f>
        <v>403.2</v>
      </c>
      <c r="Z40" s="149"/>
      <c r="AA40" s="150">
        <f t="shared" si="32"/>
        <v>403.2</v>
      </c>
      <c r="AB40" s="151" t="str">
        <f t="shared" si="33"/>
        <v/>
      </c>
      <c r="AC40" s="150">
        <f t="shared" si="34"/>
        <v>604.79999999999995</v>
      </c>
    </row>
    <row r="41" spans="1:29" x14ac:dyDescent="0.25">
      <c r="A41" s="1" t="s">
        <v>29</v>
      </c>
      <c r="B41" s="44">
        <v>5</v>
      </c>
      <c r="C41" s="68" t="s">
        <v>240</v>
      </c>
      <c r="D41" s="139" t="s">
        <v>29</v>
      </c>
      <c r="E41" s="141">
        <f>1446.27</f>
        <v>1446.27</v>
      </c>
      <c r="F41" s="141">
        <f>1684.68</f>
        <v>1684.68</v>
      </c>
      <c r="G41" s="141">
        <f t="shared" ref="G41:G63" si="35">(E41)-(F41)</f>
        <v>-238.41000000000008</v>
      </c>
      <c r="H41" s="142">
        <f t="shared" ref="H41:H63" si="36">IF(F41=0,"",(E41)/(F41))</f>
        <v>0.85848351022152569</v>
      </c>
      <c r="I41" s="141">
        <f>3387.97</f>
        <v>3387.97</v>
      </c>
      <c r="J41" s="141">
        <f>3294.18</f>
        <v>3294.18</v>
      </c>
      <c r="K41" s="141">
        <f t="shared" ref="K41:K63" si="37">(I41)-(J41)</f>
        <v>93.789999999999964</v>
      </c>
      <c r="L41" s="142">
        <f t="shared" ref="L41:L63" si="38">IF(J41=0,"",(I41)/(J41))</f>
        <v>1.0284714253623057</v>
      </c>
      <c r="M41" s="141">
        <f t="shared" ref="M41:M63" si="39">(E41)+(I41)</f>
        <v>4834.24</v>
      </c>
      <c r="N41" s="141"/>
      <c r="O41" s="141">
        <f t="shared" ref="O41:O63" si="40">(F41)+(J41)</f>
        <v>4978.8599999999997</v>
      </c>
      <c r="P41" s="141"/>
      <c r="Q41" s="141">
        <f t="shared" ref="Q41:Q63" si="41">(M41)-(O41)</f>
        <v>-144.61999999999989</v>
      </c>
      <c r="R41" s="141"/>
      <c r="S41" s="142">
        <f t="shared" ref="S41:S63" si="42">IF(O41=0,"",(M41)/(O41))</f>
        <v>0.97095319008769077</v>
      </c>
      <c r="T41" s="155" t="s">
        <v>29</v>
      </c>
      <c r="U41" s="150">
        <f>1530.96</f>
        <v>1530.96</v>
      </c>
      <c r="V41" s="149"/>
      <c r="W41" s="150">
        <f t="shared" si="30"/>
        <v>1530.96</v>
      </c>
      <c r="X41" s="151" t="str">
        <f t="shared" si="31"/>
        <v/>
      </c>
      <c r="Y41" s="150">
        <f>3256.55</f>
        <v>3256.55</v>
      </c>
      <c r="Z41" s="149"/>
      <c r="AA41" s="150">
        <f t="shared" si="32"/>
        <v>3256.55</v>
      </c>
      <c r="AB41" s="151" t="str">
        <f t="shared" si="33"/>
        <v/>
      </c>
      <c r="AC41" s="150">
        <f t="shared" si="34"/>
        <v>4787.51</v>
      </c>
    </row>
    <row r="42" spans="1:29" x14ac:dyDescent="0.25">
      <c r="A42" s="1" t="s">
        <v>30</v>
      </c>
      <c r="B42" s="44">
        <v>5</v>
      </c>
      <c r="C42" s="68" t="s">
        <v>240</v>
      </c>
      <c r="D42" s="139" t="s">
        <v>30</v>
      </c>
      <c r="E42" s="141">
        <f>492.55</f>
        <v>492.55</v>
      </c>
      <c r="F42" s="141">
        <f>481.35</f>
        <v>481.35</v>
      </c>
      <c r="G42" s="141">
        <f t="shared" si="35"/>
        <v>11.199999999999989</v>
      </c>
      <c r="H42" s="142">
        <f t="shared" si="36"/>
        <v>1.0232678923859977</v>
      </c>
      <c r="I42" s="141">
        <f>1141.38</f>
        <v>1141.3800000000001</v>
      </c>
      <c r="J42" s="141">
        <f>941.19</f>
        <v>941.19</v>
      </c>
      <c r="K42" s="141">
        <f t="shared" si="37"/>
        <v>200.19000000000005</v>
      </c>
      <c r="L42" s="142">
        <f t="shared" si="38"/>
        <v>1.212698817454499</v>
      </c>
      <c r="M42" s="141">
        <f t="shared" si="39"/>
        <v>1633.93</v>
      </c>
      <c r="N42" s="141"/>
      <c r="O42" s="141">
        <f t="shared" si="40"/>
        <v>1422.54</v>
      </c>
      <c r="P42" s="141"/>
      <c r="Q42" s="141">
        <f t="shared" si="41"/>
        <v>211.3900000000001</v>
      </c>
      <c r="R42" s="141"/>
      <c r="S42" s="142">
        <f t="shared" si="42"/>
        <v>1.1486003908501694</v>
      </c>
      <c r="T42" s="155" t="s">
        <v>30</v>
      </c>
      <c r="U42" s="150">
        <f>511.61</f>
        <v>511.61</v>
      </c>
      <c r="V42" s="149"/>
      <c r="W42" s="150">
        <f t="shared" si="30"/>
        <v>511.61</v>
      </c>
      <c r="X42" s="151" t="str">
        <f t="shared" si="31"/>
        <v/>
      </c>
      <c r="Y42" s="150">
        <f>1370.59</f>
        <v>1370.59</v>
      </c>
      <c r="Z42" s="149"/>
      <c r="AA42" s="150">
        <f t="shared" si="32"/>
        <v>1370.59</v>
      </c>
      <c r="AB42" s="151" t="str">
        <f t="shared" si="33"/>
        <v/>
      </c>
      <c r="AC42" s="150">
        <f t="shared" si="34"/>
        <v>1882.1999999999998</v>
      </c>
    </row>
    <row r="43" spans="1:29" x14ac:dyDescent="0.25">
      <c r="A43" s="1" t="s">
        <v>31</v>
      </c>
      <c r="B43" s="44">
        <v>5</v>
      </c>
      <c r="C43" s="68" t="s">
        <v>240</v>
      </c>
      <c r="D43" s="139" t="s">
        <v>31</v>
      </c>
      <c r="E43" s="141">
        <f>2136.3</f>
        <v>2136.3000000000002</v>
      </c>
      <c r="F43" s="141">
        <f>1454.07</f>
        <v>1454.07</v>
      </c>
      <c r="G43" s="141">
        <f t="shared" si="35"/>
        <v>682.23000000000025</v>
      </c>
      <c r="H43" s="142">
        <f t="shared" si="36"/>
        <v>1.4691864903340282</v>
      </c>
      <c r="I43" s="141">
        <f>3919.85</f>
        <v>3919.85</v>
      </c>
      <c r="J43" s="141">
        <f>2778.48</f>
        <v>2778.48</v>
      </c>
      <c r="K43" s="141">
        <f t="shared" si="37"/>
        <v>1141.3699999999999</v>
      </c>
      <c r="L43" s="142">
        <f t="shared" si="38"/>
        <v>1.4107893524517001</v>
      </c>
      <c r="M43" s="141">
        <f t="shared" si="39"/>
        <v>6056.15</v>
      </c>
      <c r="N43" s="141"/>
      <c r="O43" s="141">
        <f t="shared" si="40"/>
        <v>4232.55</v>
      </c>
      <c r="P43" s="141"/>
      <c r="Q43" s="141">
        <f t="shared" si="41"/>
        <v>1823.5999999999995</v>
      </c>
      <c r="R43" s="141"/>
      <c r="S43" s="142">
        <f t="shared" si="42"/>
        <v>1.4308513780108916</v>
      </c>
      <c r="T43" s="155" t="s">
        <v>31</v>
      </c>
      <c r="U43" s="150">
        <f>1056.51</f>
        <v>1056.51</v>
      </c>
      <c r="V43" s="149"/>
      <c r="W43" s="150">
        <f t="shared" si="30"/>
        <v>1056.51</v>
      </c>
      <c r="X43" s="151" t="str">
        <f t="shared" si="31"/>
        <v/>
      </c>
      <c r="Y43" s="150">
        <f>2061.25</f>
        <v>2061.25</v>
      </c>
      <c r="Z43" s="149"/>
      <c r="AA43" s="150">
        <f t="shared" si="32"/>
        <v>2061.25</v>
      </c>
      <c r="AB43" s="151" t="str">
        <f t="shared" si="33"/>
        <v/>
      </c>
      <c r="AC43" s="150">
        <f t="shared" si="34"/>
        <v>3117.76</v>
      </c>
    </row>
    <row r="44" spans="1:29" x14ac:dyDescent="0.25">
      <c r="A44" s="1" t="s">
        <v>32</v>
      </c>
      <c r="B44" s="44">
        <v>5</v>
      </c>
      <c r="C44" s="68" t="s">
        <v>240</v>
      </c>
      <c r="D44" s="139" t="s">
        <v>32</v>
      </c>
      <c r="E44" s="141">
        <f>531.92</f>
        <v>531.91999999999996</v>
      </c>
      <c r="F44" s="141">
        <f>761.28</f>
        <v>761.28</v>
      </c>
      <c r="G44" s="141">
        <f t="shared" si="35"/>
        <v>-229.36</v>
      </c>
      <c r="H44" s="142">
        <f t="shared" si="36"/>
        <v>0.69871794871794868</v>
      </c>
      <c r="I44" s="141">
        <f>443.65</f>
        <v>443.65</v>
      </c>
      <c r="J44" s="141">
        <f>1454.67</f>
        <v>1454.67</v>
      </c>
      <c r="K44" s="141">
        <f t="shared" si="37"/>
        <v>-1011.0200000000001</v>
      </c>
      <c r="L44" s="142">
        <f t="shared" si="38"/>
        <v>0.30498326080829324</v>
      </c>
      <c r="M44" s="141">
        <f t="shared" si="39"/>
        <v>975.56999999999994</v>
      </c>
      <c r="N44" s="141"/>
      <c r="O44" s="141">
        <f t="shared" si="40"/>
        <v>2215.9499999999998</v>
      </c>
      <c r="P44" s="141"/>
      <c r="Q44" s="141">
        <f t="shared" si="41"/>
        <v>-1240.3799999999999</v>
      </c>
      <c r="R44" s="141"/>
      <c r="S44" s="142">
        <f t="shared" si="42"/>
        <v>0.44024910309348136</v>
      </c>
      <c r="T44" s="155" t="s">
        <v>32</v>
      </c>
      <c r="U44" s="150">
        <f>392.94</f>
        <v>392.94</v>
      </c>
      <c r="V44" s="149"/>
      <c r="W44" s="150">
        <f t="shared" si="30"/>
        <v>392.94</v>
      </c>
      <c r="X44" s="151" t="str">
        <f t="shared" si="31"/>
        <v/>
      </c>
      <c r="Y44" s="150">
        <f>735.83</f>
        <v>735.83</v>
      </c>
      <c r="Z44" s="149"/>
      <c r="AA44" s="150">
        <f t="shared" si="32"/>
        <v>735.83</v>
      </c>
      <c r="AB44" s="151" t="str">
        <f t="shared" si="33"/>
        <v/>
      </c>
      <c r="AC44" s="150">
        <f t="shared" si="34"/>
        <v>1128.77</v>
      </c>
    </row>
    <row r="45" spans="1:29" x14ac:dyDescent="0.25">
      <c r="A45" s="1" t="s">
        <v>33</v>
      </c>
      <c r="B45" s="44">
        <v>5</v>
      </c>
      <c r="C45" s="68" t="s">
        <v>240</v>
      </c>
      <c r="D45" s="139" t="s">
        <v>33</v>
      </c>
      <c r="E45" s="141">
        <f>203.49</f>
        <v>203.49</v>
      </c>
      <c r="F45" s="141">
        <f>269.37</f>
        <v>269.37</v>
      </c>
      <c r="G45" s="141">
        <f t="shared" si="35"/>
        <v>-65.88</v>
      </c>
      <c r="H45" s="142">
        <f t="shared" si="36"/>
        <v>0.755429335115269</v>
      </c>
      <c r="I45" s="141">
        <f>395.16</f>
        <v>395.16</v>
      </c>
      <c r="J45" s="141">
        <f>514.71</f>
        <v>514.71</v>
      </c>
      <c r="K45" s="141">
        <f t="shared" si="37"/>
        <v>-119.55000000000001</v>
      </c>
      <c r="L45" s="142">
        <f t="shared" si="38"/>
        <v>0.76773328670513497</v>
      </c>
      <c r="M45" s="141">
        <f t="shared" si="39"/>
        <v>598.65000000000009</v>
      </c>
      <c r="N45" s="141"/>
      <c r="O45" s="141">
        <f t="shared" si="40"/>
        <v>784.08</v>
      </c>
      <c r="P45" s="141"/>
      <c r="Q45" s="141">
        <f t="shared" si="41"/>
        <v>-185.42999999999995</v>
      </c>
      <c r="R45" s="141"/>
      <c r="S45" s="142">
        <f t="shared" si="42"/>
        <v>0.76350627486991129</v>
      </c>
      <c r="T45" s="155" t="s">
        <v>33</v>
      </c>
      <c r="U45" s="150">
        <f>199.12</f>
        <v>199.12</v>
      </c>
      <c r="V45" s="149"/>
      <c r="W45" s="150">
        <f t="shared" si="30"/>
        <v>199.12</v>
      </c>
      <c r="X45" s="151" t="str">
        <f t="shared" si="31"/>
        <v/>
      </c>
      <c r="Y45" s="150">
        <f>398.26</f>
        <v>398.26</v>
      </c>
      <c r="Z45" s="149"/>
      <c r="AA45" s="150">
        <f t="shared" si="32"/>
        <v>398.26</v>
      </c>
      <c r="AB45" s="151" t="str">
        <f t="shared" si="33"/>
        <v/>
      </c>
      <c r="AC45" s="150">
        <f t="shared" si="34"/>
        <v>597.38</v>
      </c>
    </row>
    <row r="46" spans="1:29" x14ac:dyDescent="0.25">
      <c r="A46" s="1" t="s">
        <v>34</v>
      </c>
      <c r="B46" s="45"/>
      <c r="D46" s="139" t="s">
        <v>34</v>
      </c>
      <c r="E46" s="143">
        <f>((((((E38)+(E39))+(E41))+(E42))+(E43))+(E44))+(E45)</f>
        <v>24298.37</v>
      </c>
      <c r="F46" s="143">
        <f>((((((F38)+(F39))+(F41))+(F42))+(F43))+(F44))+(F45)</f>
        <v>28717.559999999998</v>
      </c>
      <c r="G46" s="143">
        <f t="shared" si="35"/>
        <v>-4419.1899999999987</v>
      </c>
      <c r="H46" s="144">
        <f t="shared" si="36"/>
        <v>0.84611540813356012</v>
      </c>
      <c r="I46" s="143">
        <f>((((((I38)+(I39))+(I41))+(I42))+(I43))+(I44))+(I45)</f>
        <v>54938.01</v>
      </c>
      <c r="J46" s="143">
        <f>((((((J38)+(J39))+(J41))+(J42))+(J43))+(J44))+(J45)</f>
        <v>60543</v>
      </c>
      <c r="K46" s="143">
        <f t="shared" si="37"/>
        <v>-5604.989999999998</v>
      </c>
      <c r="L46" s="144">
        <f t="shared" si="38"/>
        <v>0.90742133690104554</v>
      </c>
      <c r="M46" s="143">
        <f t="shared" si="39"/>
        <v>79236.38</v>
      </c>
      <c r="N46" s="143"/>
      <c r="O46" s="143">
        <f t="shared" si="40"/>
        <v>89260.56</v>
      </c>
      <c r="P46" s="143"/>
      <c r="Q46" s="143">
        <f t="shared" si="41"/>
        <v>-10024.179999999993</v>
      </c>
      <c r="R46" s="143"/>
      <c r="S46" s="144">
        <f t="shared" si="42"/>
        <v>0.88769754525402944</v>
      </c>
      <c r="T46" s="155" t="s">
        <v>34</v>
      </c>
      <c r="U46" s="152">
        <f>(((((((U38)+(U39))+(U40))+(U41))+(U42))+(U43))+(U44))+(U45)</f>
        <v>24306.449999999993</v>
      </c>
      <c r="V46" s="152">
        <f>(((((((V38)+(V39))+(V40))+(V41))+(V42))+(V43))+(V44))+(V45)</f>
        <v>0</v>
      </c>
      <c r="W46" s="152">
        <f t="shared" si="30"/>
        <v>24306.449999999993</v>
      </c>
      <c r="X46" s="153" t="str">
        <f t="shared" si="31"/>
        <v/>
      </c>
      <c r="Y46" s="152">
        <f>(((((((Y38)+(Y39))+(Y40))+(Y41))+(Y42))+(Y43))+(Y44))+(Y45)</f>
        <v>51626.41</v>
      </c>
      <c r="Z46" s="152">
        <f>(((((((Z38)+(Z39))+(Z40))+(Z41))+(Z42))+(Z43))+(Z44))+(Z45)</f>
        <v>0</v>
      </c>
      <c r="AA46" s="152">
        <f t="shared" si="32"/>
        <v>51626.41</v>
      </c>
      <c r="AB46" s="153" t="str">
        <f t="shared" si="33"/>
        <v/>
      </c>
      <c r="AC46" s="152">
        <f t="shared" si="34"/>
        <v>75932.86</v>
      </c>
    </row>
    <row r="47" spans="1:29" x14ac:dyDescent="0.25">
      <c r="A47" s="1" t="s">
        <v>35</v>
      </c>
      <c r="B47" s="44"/>
      <c r="D47" s="139" t="s">
        <v>35</v>
      </c>
      <c r="E47" s="140"/>
      <c r="F47" s="140"/>
      <c r="G47" s="141">
        <f t="shared" si="35"/>
        <v>0</v>
      </c>
      <c r="H47" s="142" t="str">
        <f t="shared" si="36"/>
        <v/>
      </c>
      <c r="I47" s="140"/>
      <c r="J47" s="140"/>
      <c r="K47" s="141">
        <f t="shared" si="37"/>
        <v>0</v>
      </c>
      <c r="L47" s="142" t="str">
        <f t="shared" si="38"/>
        <v/>
      </c>
      <c r="M47" s="141">
        <f t="shared" si="39"/>
        <v>0</v>
      </c>
      <c r="N47" s="141"/>
      <c r="O47" s="141">
        <f t="shared" si="40"/>
        <v>0</v>
      </c>
      <c r="P47" s="141"/>
      <c r="Q47" s="141">
        <f t="shared" si="41"/>
        <v>0</v>
      </c>
      <c r="R47" s="141"/>
      <c r="S47" s="142" t="str">
        <f t="shared" si="42"/>
        <v/>
      </c>
      <c r="T47" s="155" t="s">
        <v>35</v>
      </c>
      <c r="U47" s="149"/>
      <c r="V47" s="149"/>
      <c r="W47" s="150">
        <f t="shared" si="30"/>
        <v>0</v>
      </c>
      <c r="X47" s="151" t="str">
        <f t="shared" si="31"/>
        <v/>
      </c>
      <c r="Y47" s="149"/>
      <c r="Z47" s="149"/>
      <c r="AA47" s="150">
        <f t="shared" si="32"/>
        <v>0</v>
      </c>
      <c r="AB47" s="151" t="str">
        <f t="shared" si="33"/>
        <v/>
      </c>
      <c r="AC47" s="150">
        <f t="shared" si="34"/>
        <v>0</v>
      </c>
    </row>
    <row r="48" spans="1:29" x14ac:dyDescent="0.25">
      <c r="A48" s="1" t="s">
        <v>36</v>
      </c>
      <c r="B48" s="44"/>
      <c r="D48" s="139" t="s">
        <v>36</v>
      </c>
      <c r="E48" s="141">
        <f>124.57</f>
        <v>124.57</v>
      </c>
      <c r="F48" s="141">
        <f>146.64</f>
        <v>146.63999999999999</v>
      </c>
      <c r="G48" s="141">
        <f t="shared" si="35"/>
        <v>-22.069999999999993</v>
      </c>
      <c r="H48" s="142">
        <f t="shared" si="36"/>
        <v>0.84949536279323512</v>
      </c>
      <c r="I48" s="141">
        <f>233.08</f>
        <v>233.08</v>
      </c>
      <c r="J48" s="141">
        <f>280.23</f>
        <v>280.23</v>
      </c>
      <c r="K48" s="141">
        <f t="shared" si="37"/>
        <v>-47.150000000000006</v>
      </c>
      <c r="L48" s="142">
        <f t="shared" si="38"/>
        <v>0.83174535203225919</v>
      </c>
      <c r="M48" s="141">
        <f t="shared" si="39"/>
        <v>357.65</v>
      </c>
      <c r="N48" s="141"/>
      <c r="O48" s="141">
        <f t="shared" si="40"/>
        <v>426.87</v>
      </c>
      <c r="P48" s="141"/>
      <c r="Q48" s="141">
        <f t="shared" si="41"/>
        <v>-69.220000000000027</v>
      </c>
      <c r="R48" s="141"/>
      <c r="S48" s="142">
        <f t="shared" si="42"/>
        <v>0.83784290299154307</v>
      </c>
      <c r="T48" s="155" t="s">
        <v>36</v>
      </c>
      <c r="U48" s="150">
        <f>153.07</f>
        <v>153.07</v>
      </c>
      <c r="V48" s="149"/>
      <c r="W48" s="150">
        <f t="shared" si="30"/>
        <v>153.07</v>
      </c>
      <c r="X48" s="151" t="str">
        <f t="shared" si="31"/>
        <v/>
      </c>
      <c r="Y48" s="150">
        <f>306.12</f>
        <v>306.12</v>
      </c>
      <c r="Z48" s="149"/>
      <c r="AA48" s="150">
        <f t="shared" si="32"/>
        <v>306.12</v>
      </c>
      <c r="AB48" s="151" t="str">
        <f t="shared" si="33"/>
        <v/>
      </c>
      <c r="AC48" s="150">
        <f t="shared" si="34"/>
        <v>459.19</v>
      </c>
    </row>
    <row r="49" spans="1:29" x14ac:dyDescent="0.25">
      <c r="A49" s="1" t="s">
        <v>37</v>
      </c>
      <c r="B49" s="44"/>
      <c r="D49" s="139" t="s">
        <v>37</v>
      </c>
      <c r="E49" s="141">
        <f>229.27</f>
        <v>229.27</v>
      </c>
      <c r="F49" s="141">
        <f>285.15</f>
        <v>285.14999999999998</v>
      </c>
      <c r="G49" s="141">
        <f t="shared" si="35"/>
        <v>-55.879999999999967</v>
      </c>
      <c r="H49" s="142">
        <f t="shared" si="36"/>
        <v>0.80403296510608457</v>
      </c>
      <c r="I49" s="141">
        <f>301.06</f>
        <v>301.06</v>
      </c>
      <c r="J49" s="141">
        <f>544.89</f>
        <v>544.89</v>
      </c>
      <c r="K49" s="141">
        <f t="shared" si="37"/>
        <v>-243.82999999999998</v>
      </c>
      <c r="L49" s="142">
        <f t="shared" si="38"/>
        <v>0.55251518655141407</v>
      </c>
      <c r="M49" s="141">
        <f t="shared" si="39"/>
        <v>530.33000000000004</v>
      </c>
      <c r="N49" s="141"/>
      <c r="O49" s="141">
        <f t="shared" si="40"/>
        <v>830.04</v>
      </c>
      <c r="P49" s="141"/>
      <c r="Q49" s="141">
        <f t="shared" si="41"/>
        <v>-299.70999999999992</v>
      </c>
      <c r="R49" s="141"/>
      <c r="S49" s="142">
        <f t="shared" si="42"/>
        <v>0.63892101585465766</v>
      </c>
      <c r="T49" s="155" t="s">
        <v>37</v>
      </c>
      <c r="U49" s="150">
        <f>298.8</f>
        <v>298.8</v>
      </c>
      <c r="V49" s="149"/>
      <c r="W49" s="150">
        <f t="shared" si="30"/>
        <v>298.8</v>
      </c>
      <c r="X49" s="151" t="str">
        <f t="shared" si="31"/>
        <v/>
      </c>
      <c r="Y49" s="150">
        <f>597.57</f>
        <v>597.57000000000005</v>
      </c>
      <c r="Z49" s="149"/>
      <c r="AA49" s="150">
        <f t="shared" si="32"/>
        <v>597.57000000000005</v>
      </c>
      <c r="AB49" s="151" t="str">
        <f t="shared" si="33"/>
        <v/>
      </c>
      <c r="AC49" s="150">
        <f t="shared" si="34"/>
        <v>896.37000000000012</v>
      </c>
    </row>
    <row r="50" spans="1:29" x14ac:dyDescent="0.25">
      <c r="A50" s="1" t="s">
        <v>38</v>
      </c>
      <c r="B50" s="44"/>
      <c r="D50" s="139" t="s">
        <v>38</v>
      </c>
      <c r="E50" s="140"/>
      <c r="F50" s="140"/>
      <c r="G50" s="141">
        <f t="shared" si="35"/>
        <v>0</v>
      </c>
      <c r="H50" s="142" t="str">
        <f t="shared" si="36"/>
        <v/>
      </c>
      <c r="I50" s="140"/>
      <c r="J50" s="140"/>
      <c r="K50" s="141">
        <f t="shared" si="37"/>
        <v>0</v>
      </c>
      <c r="L50" s="142" t="str">
        <f t="shared" si="38"/>
        <v/>
      </c>
      <c r="M50" s="141">
        <f t="shared" si="39"/>
        <v>0</v>
      </c>
      <c r="N50" s="141"/>
      <c r="O50" s="141">
        <f t="shared" si="40"/>
        <v>0</v>
      </c>
      <c r="P50" s="141"/>
      <c r="Q50" s="141">
        <f t="shared" si="41"/>
        <v>0</v>
      </c>
      <c r="R50" s="141"/>
      <c r="S50" s="142" t="str">
        <f t="shared" si="42"/>
        <v/>
      </c>
      <c r="T50" s="155" t="s">
        <v>38</v>
      </c>
      <c r="U50" s="149"/>
      <c r="V50" s="149"/>
      <c r="W50" s="150">
        <f t="shared" si="30"/>
        <v>0</v>
      </c>
      <c r="X50" s="151" t="str">
        <f t="shared" si="31"/>
        <v/>
      </c>
      <c r="Y50" s="149"/>
      <c r="Z50" s="149"/>
      <c r="AA50" s="150">
        <f t="shared" si="32"/>
        <v>0</v>
      </c>
      <c r="AB50" s="151" t="str">
        <f t="shared" si="33"/>
        <v/>
      </c>
      <c r="AC50" s="150">
        <f t="shared" si="34"/>
        <v>0</v>
      </c>
    </row>
    <row r="51" spans="1:29" x14ac:dyDescent="0.25">
      <c r="A51" s="1" t="s">
        <v>39</v>
      </c>
      <c r="B51" s="44"/>
      <c r="D51" s="139" t="s">
        <v>39</v>
      </c>
      <c r="E51" s="141">
        <f>1057.88</f>
        <v>1057.8800000000001</v>
      </c>
      <c r="F51" s="141">
        <f>268.86</f>
        <v>268.86</v>
      </c>
      <c r="G51" s="141">
        <f t="shared" si="35"/>
        <v>789.0200000000001</v>
      </c>
      <c r="H51" s="142">
        <f t="shared" si="36"/>
        <v>3.9346871977981106</v>
      </c>
      <c r="I51" s="141">
        <f>1953</f>
        <v>1953</v>
      </c>
      <c r="J51" s="141">
        <f>513.75</f>
        <v>513.75</v>
      </c>
      <c r="K51" s="141">
        <f t="shared" si="37"/>
        <v>1439.25</v>
      </c>
      <c r="L51" s="142">
        <f t="shared" si="38"/>
        <v>3.8014598540145985</v>
      </c>
      <c r="M51" s="141">
        <f t="shared" si="39"/>
        <v>3010.88</v>
      </c>
      <c r="N51" s="141"/>
      <c r="O51" s="141">
        <f t="shared" si="40"/>
        <v>782.61</v>
      </c>
      <c r="P51" s="141"/>
      <c r="Q51" s="141">
        <f t="shared" si="41"/>
        <v>2228.27</v>
      </c>
      <c r="R51" s="141"/>
      <c r="S51" s="142">
        <f t="shared" si="42"/>
        <v>3.8472291435069832</v>
      </c>
      <c r="T51" s="155" t="s">
        <v>39</v>
      </c>
      <c r="U51" s="150">
        <f>671.7</f>
        <v>671.7</v>
      </c>
      <c r="V51" s="149"/>
      <c r="W51" s="150">
        <f t="shared" si="30"/>
        <v>671.7</v>
      </c>
      <c r="X51" s="151" t="str">
        <f t="shared" si="31"/>
        <v/>
      </c>
      <c r="Y51" s="150">
        <f>1343.4</f>
        <v>1343.4</v>
      </c>
      <c r="Z51" s="149"/>
      <c r="AA51" s="150">
        <f t="shared" si="32"/>
        <v>1343.4</v>
      </c>
      <c r="AB51" s="151" t="str">
        <f t="shared" si="33"/>
        <v/>
      </c>
      <c r="AC51" s="150">
        <f t="shared" si="34"/>
        <v>2015.1000000000001</v>
      </c>
    </row>
    <row r="52" spans="1:29" x14ac:dyDescent="0.25">
      <c r="A52" s="1" t="s">
        <v>40</v>
      </c>
      <c r="B52" s="44"/>
      <c r="D52" s="139" t="s">
        <v>40</v>
      </c>
      <c r="E52" s="141">
        <f>1057.39</f>
        <v>1057.3900000000001</v>
      </c>
      <c r="F52" s="141">
        <f>611.04</f>
        <v>611.04</v>
      </c>
      <c r="G52" s="141">
        <f t="shared" si="35"/>
        <v>446.35000000000014</v>
      </c>
      <c r="H52" s="142">
        <f t="shared" si="36"/>
        <v>1.7304759099240641</v>
      </c>
      <c r="I52" s="141">
        <f>1726.71</f>
        <v>1726.71</v>
      </c>
      <c r="J52" s="141">
        <f>1167.6</f>
        <v>1167.5999999999999</v>
      </c>
      <c r="K52" s="141">
        <f t="shared" si="37"/>
        <v>559.11000000000013</v>
      </c>
      <c r="L52" s="142">
        <f t="shared" si="38"/>
        <v>1.4788540596094555</v>
      </c>
      <c r="M52" s="141">
        <f t="shared" si="39"/>
        <v>2784.1000000000004</v>
      </c>
      <c r="N52" s="141"/>
      <c r="O52" s="141">
        <f t="shared" si="40"/>
        <v>1778.6399999999999</v>
      </c>
      <c r="P52" s="141"/>
      <c r="Q52" s="141">
        <f t="shared" si="41"/>
        <v>1005.4600000000005</v>
      </c>
      <c r="R52" s="141"/>
      <c r="S52" s="142">
        <f t="shared" si="42"/>
        <v>1.5652970809157563</v>
      </c>
      <c r="T52" s="155" t="s">
        <v>40</v>
      </c>
      <c r="U52" s="150">
        <f>171.09</f>
        <v>171.09</v>
      </c>
      <c r="V52" s="149"/>
      <c r="W52" s="150">
        <f t="shared" si="30"/>
        <v>171.09</v>
      </c>
      <c r="X52" s="151" t="str">
        <f t="shared" si="31"/>
        <v/>
      </c>
      <c r="Y52" s="150">
        <f>74.21</f>
        <v>74.209999999999994</v>
      </c>
      <c r="Z52" s="149"/>
      <c r="AA52" s="150">
        <f t="shared" si="32"/>
        <v>74.209999999999994</v>
      </c>
      <c r="AB52" s="151" t="str">
        <f t="shared" si="33"/>
        <v/>
      </c>
      <c r="AC52" s="150">
        <f t="shared" si="34"/>
        <v>245.3</v>
      </c>
    </row>
    <row r="53" spans="1:29" x14ac:dyDescent="0.25">
      <c r="A53" s="1" t="s">
        <v>41</v>
      </c>
      <c r="B53" s="45"/>
      <c r="D53" s="139" t="s">
        <v>41</v>
      </c>
      <c r="E53" s="143">
        <f>((E50)+(E51))+(E52)</f>
        <v>2115.2700000000004</v>
      </c>
      <c r="F53" s="143">
        <f>((F50)+(F51))+(F52)</f>
        <v>879.9</v>
      </c>
      <c r="G53" s="143">
        <f t="shared" si="35"/>
        <v>1235.3700000000003</v>
      </c>
      <c r="H53" s="144">
        <f t="shared" si="36"/>
        <v>2.403989089669281</v>
      </c>
      <c r="I53" s="143">
        <f>((I50)+(I51))+(I52)</f>
        <v>3679.71</v>
      </c>
      <c r="J53" s="143">
        <f>((J50)+(J51))+(J52)</f>
        <v>1681.35</v>
      </c>
      <c r="K53" s="143">
        <f t="shared" si="37"/>
        <v>1998.3600000000001</v>
      </c>
      <c r="L53" s="144">
        <f t="shared" si="38"/>
        <v>2.1885449192613082</v>
      </c>
      <c r="M53" s="143">
        <f t="shared" si="39"/>
        <v>5794.9800000000005</v>
      </c>
      <c r="N53" s="143"/>
      <c r="O53" s="143">
        <f t="shared" si="40"/>
        <v>2561.25</v>
      </c>
      <c r="P53" s="143"/>
      <c r="Q53" s="143">
        <f t="shared" si="41"/>
        <v>3233.7300000000005</v>
      </c>
      <c r="R53" s="143"/>
      <c r="S53" s="144">
        <f t="shared" si="42"/>
        <v>2.2625592972181554</v>
      </c>
      <c r="T53" s="155" t="s">
        <v>41</v>
      </c>
      <c r="U53" s="152">
        <f>((U50)+(U51))+(U52)</f>
        <v>842.79000000000008</v>
      </c>
      <c r="V53" s="152">
        <f>((V50)+(V51))+(V52)</f>
        <v>0</v>
      </c>
      <c r="W53" s="152">
        <f t="shared" si="30"/>
        <v>842.79000000000008</v>
      </c>
      <c r="X53" s="153" t="str">
        <f t="shared" si="31"/>
        <v/>
      </c>
      <c r="Y53" s="152">
        <f>((Y50)+(Y51))+(Y52)</f>
        <v>1417.6100000000001</v>
      </c>
      <c r="Z53" s="152">
        <f>((Z50)+(Z51))+(Z52)</f>
        <v>0</v>
      </c>
      <c r="AA53" s="152">
        <f t="shared" si="32"/>
        <v>1417.6100000000001</v>
      </c>
      <c r="AB53" s="153" t="str">
        <f t="shared" si="33"/>
        <v/>
      </c>
      <c r="AC53" s="152">
        <f t="shared" si="34"/>
        <v>2260.4</v>
      </c>
    </row>
    <row r="54" spans="1:29" x14ac:dyDescent="0.25">
      <c r="A54" s="1" t="s">
        <v>42</v>
      </c>
      <c r="B54" s="44"/>
      <c r="D54" s="139" t="s">
        <v>42</v>
      </c>
      <c r="E54" s="141">
        <f>40.58</f>
        <v>40.58</v>
      </c>
      <c r="F54" s="141">
        <f>73.32</f>
        <v>73.319999999999993</v>
      </c>
      <c r="G54" s="141">
        <f t="shared" si="35"/>
        <v>-32.739999999999995</v>
      </c>
      <c r="H54" s="142">
        <f t="shared" si="36"/>
        <v>0.55346426623022371</v>
      </c>
      <c r="I54" s="141">
        <f>58.22</f>
        <v>58.22</v>
      </c>
      <c r="J54" s="141">
        <f>140.1</f>
        <v>140.1</v>
      </c>
      <c r="K54" s="141">
        <f t="shared" si="37"/>
        <v>-81.88</v>
      </c>
      <c r="L54" s="142">
        <f t="shared" si="38"/>
        <v>0.41556031406138472</v>
      </c>
      <c r="M54" s="141">
        <f t="shared" si="39"/>
        <v>98.8</v>
      </c>
      <c r="N54" s="141"/>
      <c r="O54" s="141">
        <f t="shared" si="40"/>
        <v>213.42</v>
      </c>
      <c r="P54" s="141"/>
      <c r="Q54" s="141">
        <f t="shared" si="41"/>
        <v>-114.61999999999999</v>
      </c>
      <c r="R54" s="141"/>
      <c r="S54" s="142">
        <f t="shared" si="42"/>
        <v>0.46293693187142726</v>
      </c>
      <c r="T54" s="155" t="s">
        <v>42</v>
      </c>
      <c r="U54" s="150">
        <f>27.87</f>
        <v>27.87</v>
      </c>
      <c r="V54" s="149"/>
      <c r="W54" s="150">
        <f t="shared" si="30"/>
        <v>27.87</v>
      </c>
      <c r="X54" s="151" t="str">
        <f t="shared" si="31"/>
        <v/>
      </c>
      <c r="Y54" s="150">
        <f>55.76</f>
        <v>55.76</v>
      </c>
      <c r="Z54" s="149"/>
      <c r="AA54" s="150">
        <f t="shared" si="32"/>
        <v>55.76</v>
      </c>
      <c r="AB54" s="151" t="str">
        <f t="shared" si="33"/>
        <v/>
      </c>
      <c r="AC54" s="150">
        <f t="shared" si="34"/>
        <v>83.63</v>
      </c>
    </row>
    <row r="55" spans="1:29" x14ac:dyDescent="0.25">
      <c r="A55" s="1" t="s">
        <v>43</v>
      </c>
      <c r="B55" s="44"/>
      <c r="D55" s="139" t="s">
        <v>43</v>
      </c>
      <c r="E55" s="141">
        <f>788.14</f>
        <v>788.14</v>
      </c>
      <c r="F55" s="141">
        <f>154.8</f>
        <v>154.80000000000001</v>
      </c>
      <c r="G55" s="141">
        <f t="shared" si="35"/>
        <v>633.33999999999992</v>
      </c>
      <c r="H55" s="142">
        <f t="shared" si="36"/>
        <v>5.0913436692506453</v>
      </c>
      <c r="I55" s="141">
        <f>857.66</f>
        <v>857.66</v>
      </c>
      <c r="J55" s="141">
        <f>295.8</f>
        <v>295.8</v>
      </c>
      <c r="K55" s="141">
        <f t="shared" si="37"/>
        <v>561.8599999999999</v>
      </c>
      <c r="L55" s="142">
        <f t="shared" si="38"/>
        <v>2.8994590939824203</v>
      </c>
      <c r="M55" s="141">
        <f t="shared" si="39"/>
        <v>1645.8</v>
      </c>
      <c r="N55" s="141"/>
      <c r="O55" s="141">
        <f t="shared" si="40"/>
        <v>450.6</v>
      </c>
      <c r="P55" s="141"/>
      <c r="Q55" s="141">
        <f t="shared" si="41"/>
        <v>1195.1999999999998</v>
      </c>
      <c r="R55" s="141"/>
      <c r="S55" s="142">
        <f t="shared" si="42"/>
        <v>3.6524633821571237</v>
      </c>
      <c r="T55" s="155" t="s">
        <v>43</v>
      </c>
      <c r="U55" s="150">
        <f>146.24</f>
        <v>146.24</v>
      </c>
      <c r="V55" s="149"/>
      <c r="W55" s="150">
        <f t="shared" si="30"/>
        <v>146.24</v>
      </c>
      <c r="X55" s="151" t="str">
        <f t="shared" si="31"/>
        <v/>
      </c>
      <c r="Y55" s="150">
        <f>578.79</f>
        <v>578.79</v>
      </c>
      <c r="Z55" s="149"/>
      <c r="AA55" s="150">
        <f t="shared" si="32"/>
        <v>578.79</v>
      </c>
      <c r="AB55" s="151" t="str">
        <f t="shared" si="33"/>
        <v/>
      </c>
      <c r="AC55" s="150">
        <f t="shared" si="34"/>
        <v>725.03</v>
      </c>
    </row>
    <row r="56" spans="1:29" x14ac:dyDescent="0.25">
      <c r="A56" s="1" t="s">
        <v>44</v>
      </c>
      <c r="B56" s="44"/>
      <c r="D56" s="139" t="s">
        <v>44</v>
      </c>
      <c r="E56" s="141">
        <f>1.2</f>
        <v>1.2</v>
      </c>
      <c r="F56" s="141">
        <f>14.25</f>
        <v>14.25</v>
      </c>
      <c r="G56" s="141">
        <f t="shared" si="35"/>
        <v>-13.05</v>
      </c>
      <c r="H56" s="142">
        <f t="shared" si="36"/>
        <v>8.4210526315789472E-2</v>
      </c>
      <c r="I56" s="141">
        <f>2.4</f>
        <v>2.4</v>
      </c>
      <c r="J56" s="141">
        <f>27.24</f>
        <v>27.24</v>
      </c>
      <c r="K56" s="141">
        <f t="shared" si="37"/>
        <v>-24.84</v>
      </c>
      <c r="L56" s="142">
        <f t="shared" si="38"/>
        <v>8.8105726872246701E-2</v>
      </c>
      <c r="M56" s="141">
        <f t="shared" si="39"/>
        <v>3.5999999999999996</v>
      </c>
      <c r="N56" s="141"/>
      <c r="O56" s="141">
        <f t="shared" si="40"/>
        <v>41.489999999999995</v>
      </c>
      <c r="P56" s="141"/>
      <c r="Q56" s="141">
        <f t="shared" si="41"/>
        <v>-37.889999999999993</v>
      </c>
      <c r="R56" s="141"/>
      <c r="S56" s="142">
        <f t="shared" si="42"/>
        <v>8.6767895878524945E-2</v>
      </c>
    </row>
    <row r="57" spans="1:29" x14ac:dyDescent="0.25">
      <c r="A57" s="1" t="s">
        <v>233</v>
      </c>
      <c r="B57" s="44"/>
      <c r="D57" s="139" t="s">
        <v>233</v>
      </c>
      <c r="E57" s="141">
        <f>3741</f>
        <v>3741</v>
      </c>
      <c r="F57" s="141">
        <f>4278.96</f>
        <v>4278.96</v>
      </c>
      <c r="G57" s="141">
        <f t="shared" si="35"/>
        <v>-537.96</v>
      </c>
      <c r="H57" s="142">
        <f t="shared" si="36"/>
        <v>0.87427786191037071</v>
      </c>
      <c r="I57" s="141">
        <f>6244.5</f>
        <v>6244.5</v>
      </c>
      <c r="J57" s="141">
        <f>8176.35</f>
        <v>8176.35</v>
      </c>
      <c r="K57" s="141">
        <f t="shared" si="37"/>
        <v>-1931.8500000000004</v>
      </c>
      <c r="L57" s="142">
        <f t="shared" si="38"/>
        <v>0.76372709093911095</v>
      </c>
      <c r="M57" s="141">
        <f t="shared" si="39"/>
        <v>9985.5</v>
      </c>
      <c r="N57" s="141"/>
      <c r="O57" s="141">
        <f t="shared" si="40"/>
        <v>12455.310000000001</v>
      </c>
      <c r="P57" s="141"/>
      <c r="Q57" s="141">
        <f t="shared" si="41"/>
        <v>-2469.8100000000013</v>
      </c>
      <c r="R57" s="141"/>
      <c r="S57" s="142">
        <f t="shared" si="42"/>
        <v>0.80170626022154401</v>
      </c>
      <c r="T57" s="155" t="s">
        <v>233</v>
      </c>
      <c r="U57" s="150">
        <f>3741</f>
        <v>3741</v>
      </c>
      <c r="V57" s="149"/>
      <c r="W57" s="150">
        <f t="shared" ref="W57:W63" si="43">(U57)-(V57)</f>
        <v>3741</v>
      </c>
      <c r="X57" s="151" t="str">
        <f t="shared" ref="X57:X63" si="44">IF(V57=0,"",(U57)/(V57))</f>
        <v/>
      </c>
      <c r="Y57" s="150">
        <f>6135.75</f>
        <v>6135.75</v>
      </c>
      <c r="Z57" s="149"/>
      <c r="AA57" s="150">
        <f t="shared" ref="AA57:AA63" si="45">(Y57)-(Z57)</f>
        <v>6135.75</v>
      </c>
      <c r="AB57" s="151" t="str">
        <f t="shared" ref="AB57:AB63" si="46">IF(Z57=0,"",(Y57)/(Z57))</f>
        <v/>
      </c>
      <c r="AC57" s="150">
        <f t="shared" ref="AC57:AC63" si="47">(U57)+(Y57)</f>
        <v>9876.75</v>
      </c>
    </row>
    <row r="58" spans="1:29" x14ac:dyDescent="0.25">
      <c r="A58" s="1" t="s">
        <v>234</v>
      </c>
      <c r="B58" s="44"/>
      <c r="D58" s="139" t="s">
        <v>234</v>
      </c>
      <c r="E58" s="141">
        <f>132</f>
        <v>132</v>
      </c>
      <c r="F58" s="141">
        <f>224.04</f>
        <v>224.04</v>
      </c>
      <c r="G58" s="141">
        <f t="shared" si="35"/>
        <v>-92.039999999999992</v>
      </c>
      <c r="H58" s="142">
        <f t="shared" si="36"/>
        <v>0.58918050348152118</v>
      </c>
      <c r="I58" s="141">
        <f>900</f>
        <v>900</v>
      </c>
      <c r="J58" s="141">
        <f>428.13</f>
        <v>428.13</v>
      </c>
      <c r="K58" s="141">
        <f t="shared" si="37"/>
        <v>471.87</v>
      </c>
      <c r="L58" s="142">
        <f t="shared" si="38"/>
        <v>2.1021652301870928</v>
      </c>
      <c r="M58" s="141">
        <f t="shared" si="39"/>
        <v>1032</v>
      </c>
      <c r="N58" s="141"/>
      <c r="O58" s="141">
        <f t="shared" si="40"/>
        <v>652.16999999999996</v>
      </c>
      <c r="P58" s="141"/>
      <c r="Q58" s="141">
        <f t="shared" si="41"/>
        <v>379.83000000000004</v>
      </c>
      <c r="R58" s="141"/>
      <c r="S58" s="142">
        <f t="shared" si="42"/>
        <v>1.5824094944569669</v>
      </c>
      <c r="T58" s="155" t="s">
        <v>234</v>
      </c>
      <c r="U58" s="150">
        <f>132</f>
        <v>132</v>
      </c>
      <c r="V58" s="149"/>
      <c r="W58" s="150">
        <f t="shared" si="43"/>
        <v>132</v>
      </c>
      <c r="X58" s="151" t="str">
        <f t="shared" si="44"/>
        <v/>
      </c>
      <c r="Y58" s="150">
        <f>900</f>
        <v>900</v>
      </c>
      <c r="Z58" s="149"/>
      <c r="AA58" s="150">
        <f t="shared" si="45"/>
        <v>900</v>
      </c>
      <c r="AB58" s="151" t="str">
        <f t="shared" si="46"/>
        <v/>
      </c>
      <c r="AC58" s="150">
        <f t="shared" si="47"/>
        <v>1032</v>
      </c>
    </row>
    <row r="59" spans="1:29" x14ac:dyDescent="0.25">
      <c r="A59" s="1" t="s">
        <v>45</v>
      </c>
      <c r="B59" s="44"/>
      <c r="D59" s="139" t="s">
        <v>45</v>
      </c>
      <c r="E59" s="141">
        <f>96</f>
        <v>96</v>
      </c>
      <c r="F59" s="141">
        <f>254.19</f>
        <v>254.19</v>
      </c>
      <c r="G59" s="141">
        <f t="shared" si="35"/>
        <v>-158.19</v>
      </c>
      <c r="H59" s="142">
        <f t="shared" si="36"/>
        <v>0.37767024666587984</v>
      </c>
      <c r="I59" s="141">
        <f>1275</f>
        <v>1275</v>
      </c>
      <c r="J59" s="141">
        <f>485.73</f>
        <v>485.73</v>
      </c>
      <c r="K59" s="141">
        <f t="shared" si="37"/>
        <v>789.27</v>
      </c>
      <c r="L59" s="142">
        <f t="shared" si="38"/>
        <v>2.624915076276944</v>
      </c>
      <c r="M59" s="141">
        <f t="shared" si="39"/>
        <v>1371</v>
      </c>
      <c r="N59" s="141"/>
      <c r="O59" s="141">
        <f t="shared" si="40"/>
        <v>739.92000000000007</v>
      </c>
      <c r="P59" s="141"/>
      <c r="Q59" s="141">
        <f t="shared" si="41"/>
        <v>631.07999999999993</v>
      </c>
      <c r="R59" s="141"/>
      <c r="S59" s="142">
        <f t="shared" si="42"/>
        <v>1.8529030165423288</v>
      </c>
      <c r="T59" s="155" t="s">
        <v>45</v>
      </c>
      <c r="U59" s="150">
        <f>96</f>
        <v>96</v>
      </c>
      <c r="V59" s="149"/>
      <c r="W59" s="150">
        <f t="shared" si="43"/>
        <v>96</v>
      </c>
      <c r="X59" s="151" t="str">
        <f t="shared" si="44"/>
        <v/>
      </c>
      <c r="Y59" s="150">
        <f>975</f>
        <v>975</v>
      </c>
      <c r="Z59" s="149"/>
      <c r="AA59" s="150">
        <f t="shared" si="45"/>
        <v>975</v>
      </c>
      <c r="AB59" s="151" t="str">
        <f t="shared" si="46"/>
        <v/>
      </c>
      <c r="AC59" s="150">
        <f t="shared" si="47"/>
        <v>1071</v>
      </c>
    </row>
    <row r="60" spans="1:29" x14ac:dyDescent="0.25">
      <c r="A60" s="1" t="s">
        <v>46</v>
      </c>
      <c r="B60" s="44"/>
      <c r="D60" s="139" t="s">
        <v>46</v>
      </c>
      <c r="E60" s="141">
        <f>814.6</f>
        <v>814.6</v>
      </c>
      <c r="F60" s="141">
        <f>419.58</f>
        <v>419.58</v>
      </c>
      <c r="G60" s="141">
        <f t="shared" si="35"/>
        <v>395.02000000000004</v>
      </c>
      <c r="H60" s="142">
        <f t="shared" si="36"/>
        <v>1.9414652747986083</v>
      </c>
      <c r="I60" s="141">
        <f>147.71</f>
        <v>147.71</v>
      </c>
      <c r="J60" s="141">
        <f>801.75</f>
        <v>801.75</v>
      </c>
      <c r="K60" s="141">
        <f t="shared" si="37"/>
        <v>-654.04</v>
      </c>
      <c r="L60" s="142">
        <f t="shared" si="38"/>
        <v>0.18423448705955722</v>
      </c>
      <c r="M60" s="141">
        <f t="shared" si="39"/>
        <v>962.31000000000006</v>
      </c>
      <c r="N60" s="141"/>
      <c r="O60" s="141">
        <f t="shared" si="40"/>
        <v>1221.33</v>
      </c>
      <c r="P60" s="141"/>
      <c r="Q60" s="141">
        <f t="shared" si="41"/>
        <v>-259.01999999999987</v>
      </c>
      <c r="R60" s="141"/>
      <c r="S60" s="142">
        <f t="shared" si="42"/>
        <v>0.78791972685514977</v>
      </c>
      <c r="T60" s="155" t="s">
        <v>46</v>
      </c>
      <c r="U60" s="150">
        <f>491.81</f>
        <v>491.81</v>
      </c>
      <c r="V60" s="149"/>
      <c r="W60" s="150">
        <f t="shared" si="43"/>
        <v>491.81</v>
      </c>
      <c r="X60" s="151" t="str">
        <f t="shared" si="44"/>
        <v/>
      </c>
      <c r="Y60" s="150">
        <f>1002.59</f>
        <v>1002.59</v>
      </c>
      <c r="Z60" s="149"/>
      <c r="AA60" s="150">
        <f t="shared" si="45"/>
        <v>1002.59</v>
      </c>
      <c r="AB60" s="151" t="str">
        <f t="shared" si="46"/>
        <v/>
      </c>
      <c r="AC60" s="150">
        <f t="shared" si="47"/>
        <v>1494.4</v>
      </c>
    </row>
    <row r="61" spans="1:29" x14ac:dyDescent="0.25">
      <c r="A61" s="1" t="s">
        <v>47</v>
      </c>
      <c r="B61" s="44"/>
      <c r="D61" s="139" t="s">
        <v>47</v>
      </c>
      <c r="E61" s="141">
        <f>18.82</f>
        <v>18.82</v>
      </c>
      <c r="F61" s="140"/>
      <c r="G61" s="141">
        <f t="shared" si="35"/>
        <v>18.82</v>
      </c>
      <c r="H61" s="142" t="str">
        <f t="shared" si="36"/>
        <v/>
      </c>
      <c r="I61" s="141">
        <f>-16.2</f>
        <v>-16.2</v>
      </c>
      <c r="J61" s="141">
        <f>120</f>
        <v>120</v>
      </c>
      <c r="K61" s="141">
        <f t="shared" si="37"/>
        <v>-136.19999999999999</v>
      </c>
      <c r="L61" s="142">
        <f t="shared" si="38"/>
        <v>-0.13499999999999998</v>
      </c>
      <c r="M61" s="141">
        <f t="shared" si="39"/>
        <v>2.620000000000001</v>
      </c>
      <c r="N61" s="141"/>
      <c r="O61" s="141">
        <f t="shared" si="40"/>
        <v>120</v>
      </c>
      <c r="P61" s="141"/>
      <c r="Q61" s="141">
        <f t="shared" si="41"/>
        <v>-117.38</v>
      </c>
      <c r="R61" s="141"/>
      <c r="S61" s="142">
        <f t="shared" si="42"/>
        <v>2.183333333333334E-2</v>
      </c>
      <c r="T61" s="155" t="s">
        <v>47</v>
      </c>
      <c r="U61" s="150">
        <f>68.15</f>
        <v>68.150000000000006</v>
      </c>
      <c r="V61" s="149"/>
      <c r="W61" s="150">
        <f t="shared" si="43"/>
        <v>68.150000000000006</v>
      </c>
      <c r="X61" s="151" t="str">
        <f t="shared" si="44"/>
        <v/>
      </c>
      <c r="Y61" s="150">
        <f>301.14</f>
        <v>301.14</v>
      </c>
      <c r="Z61" s="149"/>
      <c r="AA61" s="150">
        <f t="shared" si="45"/>
        <v>301.14</v>
      </c>
      <c r="AB61" s="151" t="str">
        <f t="shared" si="46"/>
        <v/>
      </c>
      <c r="AC61" s="150">
        <f t="shared" si="47"/>
        <v>369.28999999999996</v>
      </c>
    </row>
    <row r="62" spans="1:29" x14ac:dyDescent="0.25">
      <c r="A62" s="1" t="s">
        <v>48</v>
      </c>
      <c r="B62" s="44"/>
      <c r="D62" s="139" t="s">
        <v>48</v>
      </c>
      <c r="E62" s="141">
        <f>141.27</f>
        <v>141.27000000000001</v>
      </c>
      <c r="F62" s="141">
        <f>114.06</f>
        <v>114.06</v>
      </c>
      <c r="G62" s="141">
        <f t="shared" si="35"/>
        <v>27.210000000000008</v>
      </c>
      <c r="H62" s="142">
        <f t="shared" si="36"/>
        <v>1.2385586533403472</v>
      </c>
      <c r="I62" s="141">
        <f>266.96</f>
        <v>266.95999999999998</v>
      </c>
      <c r="J62" s="141">
        <f>217.95</f>
        <v>217.95</v>
      </c>
      <c r="K62" s="141">
        <f t="shared" si="37"/>
        <v>49.009999999999991</v>
      </c>
      <c r="L62" s="142">
        <f t="shared" si="38"/>
        <v>1.2248680890112411</v>
      </c>
      <c r="M62" s="141">
        <f t="shared" si="39"/>
        <v>408.23</v>
      </c>
      <c r="N62" s="141"/>
      <c r="O62" s="141">
        <f t="shared" si="40"/>
        <v>332.01</v>
      </c>
      <c r="P62" s="141"/>
      <c r="Q62" s="141">
        <f t="shared" si="41"/>
        <v>76.220000000000027</v>
      </c>
      <c r="R62" s="141"/>
      <c r="S62" s="142">
        <f t="shared" si="42"/>
        <v>1.2295713984518539</v>
      </c>
      <c r="T62" s="155" t="s">
        <v>48</v>
      </c>
      <c r="U62" s="150">
        <f>122.46</f>
        <v>122.46</v>
      </c>
      <c r="V62" s="149"/>
      <c r="W62" s="150">
        <f t="shared" si="43"/>
        <v>122.46</v>
      </c>
      <c r="X62" s="151" t="str">
        <f t="shared" si="44"/>
        <v/>
      </c>
      <c r="Y62" s="150">
        <f>244.96</f>
        <v>244.96</v>
      </c>
      <c r="Z62" s="149"/>
      <c r="AA62" s="150">
        <f t="shared" si="45"/>
        <v>244.96</v>
      </c>
      <c r="AB62" s="151" t="str">
        <f t="shared" si="46"/>
        <v/>
      </c>
      <c r="AC62" s="150">
        <f t="shared" si="47"/>
        <v>367.42</v>
      </c>
    </row>
    <row r="63" spans="1:29" x14ac:dyDescent="0.25">
      <c r="A63" s="1" t="s">
        <v>49</v>
      </c>
      <c r="B63" s="44"/>
      <c r="D63" s="139" t="s">
        <v>49</v>
      </c>
      <c r="E63" s="141">
        <f>50</f>
        <v>50</v>
      </c>
      <c r="F63" s="141">
        <f>10.17</f>
        <v>10.17</v>
      </c>
      <c r="G63" s="141">
        <f t="shared" si="35"/>
        <v>39.83</v>
      </c>
      <c r="H63" s="142">
        <f t="shared" si="36"/>
        <v>4.9164208456243852</v>
      </c>
      <c r="I63" s="140"/>
      <c r="J63" s="141">
        <f>19.47</f>
        <v>19.47</v>
      </c>
      <c r="K63" s="141">
        <f t="shared" si="37"/>
        <v>-19.47</v>
      </c>
      <c r="L63" s="142">
        <f t="shared" si="38"/>
        <v>0</v>
      </c>
      <c r="M63" s="141">
        <f t="shared" si="39"/>
        <v>50</v>
      </c>
      <c r="N63" s="141"/>
      <c r="O63" s="141">
        <f t="shared" si="40"/>
        <v>29.64</v>
      </c>
      <c r="P63" s="141"/>
      <c r="Q63" s="141">
        <f t="shared" si="41"/>
        <v>20.36</v>
      </c>
      <c r="R63" s="141"/>
      <c r="S63" s="142">
        <f t="shared" si="42"/>
        <v>1.6869095816464237</v>
      </c>
      <c r="T63" s="155" t="s">
        <v>49</v>
      </c>
      <c r="U63" s="150">
        <f>153.18</f>
        <v>153.18</v>
      </c>
      <c r="V63" s="149"/>
      <c r="W63" s="150">
        <f t="shared" si="43"/>
        <v>153.18</v>
      </c>
      <c r="X63" s="151" t="str">
        <f t="shared" si="44"/>
        <v/>
      </c>
      <c r="Y63" s="149"/>
      <c r="Z63" s="149"/>
      <c r="AA63" s="150">
        <f t="shared" si="45"/>
        <v>0</v>
      </c>
      <c r="AB63" s="151" t="str">
        <f t="shared" si="46"/>
        <v/>
      </c>
      <c r="AC63" s="150">
        <f t="shared" si="47"/>
        <v>153.18</v>
      </c>
    </row>
    <row r="64" spans="1:29" x14ac:dyDescent="0.25">
      <c r="A64" s="1" t="s">
        <v>50</v>
      </c>
      <c r="B64" s="44"/>
    </row>
    <row r="65" spans="1:29" x14ac:dyDescent="0.25">
      <c r="A65" s="1" t="s">
        <v>51</v>
      </c>
      <c r="B65" s="44"/>
      <c r="D65" s="139" t="s">
        <v>51</v>
      </c>
      <c r="E65" s="140"/>
      <c r="F65" s="140"/>
      <c r="G65" s="141">
        <f t="shared" ref="G65:G79" si="48">(E65)-(F65)</f>
        <v>0</v>
      </c>
      <c r="H65" s="142" t="str">
        <f t="shared" ref="H65:H79" si="49">IF(F65=0,"",(E65)/(F65))</f>
        <v/>
      </c>
      <c r="I65" s="140"/>
      <c r="J65" s="140"/>
      <c r="K65" s="141">
        <f t="shared" ref="K65:K79" si="50">(I65)-(J65)</f>
        <v>0</v>
      </c>
      <c r="L65" s="142" t="str">
        <f t="shared" ref="L65:L79" si="51">IF(J65=0,"",(I65)/(J65))</f>
        <v/>
      </c>
      <c r="M65" s="141">
        <f t="shared" ref="M65:M79" si="52">(E65)+(I65)</f>
        <v>0</v>
      </c>
      <c r="N65" s="141"/>
      <c r="O65" s="141">
        <f t="shared" ref="O65:O79" si="53">(F65)+(J65)</f>
        <v>0</v>
      </c>
      <c r="P65" s="141"/>
      <c r="Q65" s="141">
        <f t="shared" ref="Q65:Q79" si="54">(M65)-(O65)</f>
        <v>0</v>
      </c>
      <c r="R65" s="141"/>
      <c r="S65" s="142" t="str">
        <f t="shared" ref="S65:S79" si="55">IF(O65=0,"",(M65)/(O65))</f>
        <v/>
      </c>
      <c r="T65" s="155" t="s">
        <v>51</v>
      </c>
      <c r="U65" s="149"/>
      <c r="V65" s="149"/>
      <c r="W65" s="150">
        <f>(U65)-(V65)</f>
        <v>0</v>
      </c>
      <c r="X65" s="151" t="str">
        <f>IF(V65=0,"",(U65)/(V65))</f>
        <v/>
      </c>
      <c r="Y65" s="149"/>
      <c r="Z65" s="149"/>
      <c r="AA65" s="150">
        <f>(Y65)-(Z65)</f>
        <v>0</v>
      </c>
      <c r="AB65" s="151" t="str">
        <f>IF(Z65=0,"",(Y65)/(Z65))</f>
        <v/>
      </c>
      <c r="AC65" s="150">
        <f>(U65)+(Y65)</f>
        <v>0</v>
      </c>
    </row>
    <row r="66" spans="1:29" x14ac:dyDescent="0.25">
      <c r="A66" s="1" t="s">
        <v>52</v>
      </c>
      <c r="B66" s="44"/>
      <c r="D66" s="139" t="s">
        <v>52</v>
      </c>
      <c r="E66" s="141">
        <f>72.8</f>
        <v>72.8</v>
      </c>
      <c r="F66" s="141">
        <f>611.04</f>
        <v>611.04</v>
      </c>
      <c r="G66" s="141">
        <f t="shared" si="48"/>
        <v>-538.24</v>
      </c>
      <c r="H66" s="142">
        <f t="shared" si="49"/>
        <v>0.11914113642314743</v>
      </c>
      <c r="I66" s="141">
        <f>136.8</f>
        <v>136.80000000000001</v>
      </c>
      <c r="J66" s="141">
        <f>1167.6</f>
        <v>1167.5999999999999</v>
      </c>
      <c r="K66" s="141">
        <f t="shared" si="50"/>
        <v>-1030.8</v>
      </c>
      <c r="L66" s="142">
        <f t="shared" si="51"/>
        <v>0.11716341212744093</v>
      </c>
      <c r="M66" s="141">
        <f t="shared" si="52"/>
        <v>209.60000000000002</v>
      </c>
      <c r="N66" s="141"/>
      <c r="O66" s="141">
        <f t="shared" si="53"/>
        <v>1778.6399999999999</v>
      </c>
      <c r="P66" s="141"/>
      <c r="Q66" s="141">
        <f t="shared" si="54"/>
        <v>-1569.04</v>
      </c>
      <c r="R66" s="141"/>
      <c r="S66" s="142">
        <f t="shared" si="55"/>
        <v>0.11784284621958352</v>
      </c>
    </row>
    <row r="67" spans="1:29" x14ac:dyDescent="0.25">
      <c r="A67" s="1" t="s">
        <v>53</v>
      </c>
      <c r="B67" s="44"/>
      <c r="D67" s="139" t="s">
        <v>53</v>
      </c>
      <c r="E67" s="141">
        <f>11.7</f>
        <v>11.7</v>
      </c>
      <c r="F67" s="141">
        <f>468.48</f>
        <v>468.48</v>
      </c>
      <c r="G67" s="141">
        <f t="shared" si="48"/>
        <v>-456.78000000000003</v>
      </c>
      <c r="H67" s="142">
        <f t="shared" si="49"/>
        <v>2.4974385245901638E-2</v>
      </c>
      <c r="I67" s="141">
        <f>21.6</f>
        <v>21.6</v>
      </c>
      <c r="J67" s="141">
        <f>895.17</f>
        <v>895.17</v>
      </c>
      <c r="K67" s="141">
        <f t="shared" si="50"/>
        <v>-873.56999999999994</v>
      </c>
      <c r="L67" s="142">
        <f t="shared" si="51"/>
        <v>2.4129494956265294E-2</v>
      </c>
      <c r="M67" s="141">
        <f t="shared" si="52"/>
        <v>33.299999999999997</v>
      </c>
      <c r="N67" s="141"/>
      <c r="O67" s="141">
        <f t="shared" si="53"/>
        <v>1363.65</v>
      </c>
      <c r="P67" s="141"/>
      <c r="Q67" s="141">
        <f t="shared" si="54"/>
        <v>-1330.3500000000001</v>
      </c>
      <c r="R67" s="141"/>
      <c r="S67" s="142">
        <f t="shared" si="55"/>
        <v>2.4419755802441972E-2</v>
      </c>
      <c r="T67" s="155" t="s">
        <v>53</v>
      </c>
      <c r="U67" s="150">
        <f>2802</f>
        <v>2802</v>
      </c>
      <c r="V67" s="149"/>
      <c r="W67" s="150">
        <f t="shared" ref="W67:W75" si="56">(U67)-(V67)</f>
        <v>2802</v>
      </c>
      <c r="X67" s="151" t="str">
        <f t="shared" ref="X67:X75" si="57">IF(V67=0,"",(U67)/(V67))</f>
        <v/>
      </c>
      <c r="Y67" s="150">
        <f>5604</f>
        <v>5604</v>
      </c>
      <c r="Z67" s="149"/>
      <c r="AA67" s="150">
        <f t="shared" ref="AA67:AA75" si="58">(Y67)-(Z67)</f>
        <v>5604</v>
      </c>
      <c r="AB67" s="151" t="str">
        <f t="shared" ref="AB67:AB75" si="59">IF(Z67=0,"",(Y67)/(Z67))</f>
        <v/>
      </c>
      <c r="AC67" s="150">
        <f t="shared" ref="AC67:AC75" si="60">(U67)+(Y67)</f>
        <v>8406</v>
      </c>
    </row>
    <row r="68" spans="1:29" x14ac:dyDescent="0.25">
      <c r="A68" s="1" t="s">
        <v>54</v>
      </c>
      <c r="B68" s="45"/>
      <c r="D68" s="139" t="s">
        <v>54</v>
      </c>
      <c r="E68" s="143">
        <f>((E65)+(E66))+(E67)</f>
        <v>84.5</v>
      </c>
      <c r="F68" s="143">
        <f>((F65)+(F66))+(F67)</f>
        <v>1079.52</v>
      </c>
      <c r="G68" s="143">
        <f t="shared" si="48"/>
        <v>-995.02</v>
      </c>
      <c r="H68" s="144">
        <f t="shared" si="49"/>
        <v>7.8275529865125246E-2</v>
      </c>
      <c r="I68" s="143">
        <f>((I65)+(I66))+(I67)</f>
        <v>158.4</v>
      </c>
      <c r="J68" s="143">
        <f>((J65)+(J66))+(J67)</f>
        <v>2062.77</v>
      </c>
      <c r="K68" s="143">
        <f t="shared" si="50"/>
        <v>-1904.37</v>
      </c>
      <c r="L68" s="144">
        <f t="shared" si="51"/>
        <v>7.6789947497782118E-2</v>
      </c>
      <c r="M68" s="143">
        <f t="shared" si="52"/>
        <v>242.9</v>
      </c>
      <c r="N68" s="143"/>
      <c r="O68" s="143">
        <f t="shared" si="53"/>
        <v>3142.29</v>
      </c>
      <c r="P68" s="143"/>
      <c r="Q68" s="143">
        <f t="shared" si="54"/>
        <v>-2899.39</v>
      </c>
      <c r="R68" s="143"/>
      <c r="S68" s="144">
        <f t="shared" si="55"/>
        <v>7.7300312829178722E-2</v>
      </c>
      <c r="T68" s="155" t="s">
        <v>54</v>
      </c>
      <c r="U68" s="152">
        <f>(U65)+(U67)</f>
        <v>2802</v>
      </c>
      <c r="V68" s="152">
        <f>(V65)+(V67)</f>
        <v>0</v>
      </c>
      <c r="W68" s="152">
        <f t="shared" si="56"/>
        <v>2802</v>
      </c>
      <c r="X68" s="153" t="str">
        <f t="shared" si="57"/>
        <v/>
      </c>
      <c r="Y68" s="152">
        <f>(Y65)+(Y67)</f>
        <v>5604</v>
      </c>
      <c r="Z68" s="152">
        <f>(Z65)+(Z67)</f>
        <v>0</v>
      </c>
      <c r="AA68" s="152">
        <f t="shared" si="58"/>
        <v>5604</v>
      </c>
      <c r="AB68" s="153" t="str">
        <f t="shared" si="59"/>
        <v/>
      </c>
      <c r="AC68" s="152">
        <f t="shared" si="60"/>
        <v>8406</v>
      </c>
    </row>
    <row r="69" spans="1:29" x14ac:dyDescent="0.25">
      <c r="A69" s="1" t="s">
        <v>55</v>
      </c>
      <c r="B69" s="44"/>
      <c r="D69" s="139" t="s">
        <v>55</v>
      </c>
      <c r="E69" s="140"/>
      <c r="F69" s="141">
        <f>407.37</f>
        <v>407.37</v>
      </c>
      <c r="G69" s="141">
        <f t="shared" si="48"/>
        <v>-407.37</v>
      </c>
      <c r="H69" s="142">
        <f t="shared" si="49"/>
        <v>0</v>
      </c>
      <c r="I69" s="141">
        <f>212</f>
        <v>212</v>
      </c>
      <c r="J69" s="141">
        <f>778.41</f>
        <v>778.41</v>
      </c>
      <c r="K69" s="141">
        <f t="shared" si="50"/>
        <v>-566.41</v>
      </c>
      <c r="L69" s="142">
        <f t="shared" si="51"/>
        <v>0.27235004689045622</v>
      </c>
      <c r="M69" s="141">
        <f t="shared" si="52"/>
        <v>212</v>
      </c>
      <c r="N69" s="141"/>
      <c r="O69" s="141">
        <f t="shared" si="53"/>
        <v>1185.78</v>
      </c>
      <c r="P69" s="141"/>
      <c r="Q69" s="141">
        <f t="shared" si="54"/>
        <v>-973.78</v>
      </c>
      <c r="R69" s="141"/>
      <c r="S69" s="142">
        <f t="shared" si="55"/>
        <v>0.17878527214154397</v>
      </c>
      <c r="T69" s="155" t="s">
        <v>55</v>
      </c>
      <c r="U69" s="150">
        <f>265.85</f>
        <v>265.85000000000002</v>
      </c>
      <c r="V69" s="149"/>
      <c r="W69" s="150">
        <f t="shared" si="56"/>
        <v>265.85000000000002</v>
      </c>
      <c r="X69" s="151" t="str">
        <f t="shared" si="57"/>
        <v/>
      </c>
      <c r="Y69" s="150">
        <f>531.72</f>
        <v>531.72</v>
      </c>
      <c r="Z69" s="149"/>
      <c r="AA69" s="150">
        <f t="shared" si="58"/>
        <v>531.72</v>
      </c>
      <c r="AB69" s="151" t="str">
        <f t="shared" si="59"/>
        <v/>
      </c>
      <c r="AC69" s="150">
        <f t="shared" si="60"/>
        <v>797.57</v>
      </c>
    </row>
    <row r="70" spans="1:29" x14ac:dyDescent="0.25">
      <c r="A70" s="1" t="s">
        <v>56</v>
      </c>
      <c r="B70" s="44"/>
      <c r="D70" s="139" t="s">
        <v>56</v>
      </c>
      <c r="E70" s="141">
        <f>213.79</f>
        <v>213.79</v>
      </c>
      <c r="F70" s="141">
        <f>244.41</f>
        <v>244.41</v>
      </c>
      <c r="G70" s="141">
        <f t="shared" si="48"/>
        <v>-30.620000000000005</v>
      </c>
      <c r="H70" s="142">
        <f t="shared" si="49"/>
        <v>0.87471871036373305</v>
      </c>
      <c r="I70" s="141">
        <f>394.68</f>
        <v>394.68</v>
      </c>
      <c r="J70" s="141">
        <f>467.04</f>
        <v>467.04</v>
      </c>
      <c r="K70" s="141">
        <f t="shared" si="50"/>
        <v>-72.360000000000014</v>
      </c>
      <c r="L70" s="142">
        <f t="shared" si="51"/>
        <v>0.84506680369989717</v>
      </c>
      <c r="M70" s="141">
        <f t="shared" si="52"/>
        <v>608.47</v>
      </c>
      <c r="N70" s="141"/>
      <c r="O70" s="141">
        <f t="shared" si="53"/>
        <v>711.45</v>
      </c>
      <c r="P70" s="141"/>
      <c r="Q70" s="141">
        <f t="shared" si="54"/>
        <v>-102.98000000000002</v>
      </c>
      <c r="R70" s="141"/>
      <c r="S70" s="142">
        <f t="shared" si="55"/>
        <v>0.85525335582261575</v>
      </c>
      <c r="T70" s="155" t="s">
        <v>56</v>
      </c>
      <c r="U70" s="150">
        <f>163.92</f>
        <v>163.92</v>
      </c>
      <c r="V70" s="149"/>
      <c r="W70" s="150">
        <f t="shared" si="56"/>
        <v>163.92</v>
      </c>
      <c r="X70" s="151" t="str">
        <f t="shared" si="57"/>
        <v/>
      </c>
      <c r="Y70" s="150">
        <f>327.85</f>
        <v>327.85</v>
      </c>
      <c r="Z70" s="149"/>
      <c r="AA70" s="150">
        <f t="shared" si="58"/>
        <v>327.85</v>
      </c>
      <c r="AB70" s="151" t="str">
        <f t="shared" si="59"/>
        <v/>
      </c>
      <c r="AC70" s="150">
        <f t="shared" si="60"/>
        <v>491.77</v>
      </c>
    </row>
    <row r="71" spans="1:29" x14ac:dyDescent="0.25">
      <c r="A71" s="1" t="s">
        <v>57</v>
      </c>
      <c r="B71" s="44"/>
      <c r="D71" s="139" t="s">
        <v>57</v>
      </c>
      <c r="E71" s="141">
        <f>174.69</f>
        <v>174.69</v>
      </c>
      <c r="F71" s="141">
        <f>122.22</f>
        <v>122.22</v>
      </c>
      <c r="G71" s="141">
        <f t="shared" si="48"/>
        <v>52.47</v>
      </c>
      <c r="H71" s="142">
        <f t="shared" si="49"/>
        <v>1.4293078055964654</v>
      </c>
      <c r="I71" s="141">
        <f>327.85</f>
        <v>327.85</v>
      </c>
      <c r="J71" s="141">
        <f>233.52</f>
        <v>233.52</v>
      </c>
      <c r="K71" s="141">
        <f t="shared" si="50"/>
        <v>94.330000000000013</v>
      </c>
      <c r="L71" s="142">
        <f t="shared" si="51"/>
        <v>1.4039482699554642</v>
      </c>
      <c r="M71" s="141">
        <f t="shared" si="52"/>
        <v>502.54</v>
      </c>
      <c r="N71" s="141"/>
      <c r="O71" s="141">
        <f t="shared" si="53"/>
        <v>355.74</v>
      </c>
      <c r="P71" s="141"/>
      <c r="Q71" s="141">
        <f t="shared" si="54"/>
        <v>146.80000000000001</v>
      </c>
      <c r="R71" s="141"/>
      <c r="S71" s="142">
        <f t="shared" si="55"/>
        <v>1.4126609321414516</v>
      </c>
      <c r="T71" s="155" t="s">
        <v>57</v>
      </c>
      <c r="U71" s="150">
        <f>191.62</f>
        <v>191.62</v>
      </c>
      <c r="V71" s="149"/>
      <c r="W71" s="150">
        <f t="shared" si="56"/>
        <v>191.62</v>
      </c>
      <c r="X71" s="151" t="str">
        <f t="shared" si="57"/>
        <v/>
      </c>
      <c r="Y71" s="150">
        <f>383.22</f>
        <v>383.22</v>
      </c>
      <c r="Z71" s="149"/>
      <c r="AA71" s="150">
        <f t="shared" si="58"/>
        <v>383.22</v>
      </c>
      <c r="AB71" s="151" t="str">
        <f t="shared" si="59"/>
        <v/>
      </c>
      <c r="AC71" s="150">
        <f t="shared" si="60"/>
        <v>574.84</v>
      </c>
    </row>
    <row r="72" spans="1:29" x14ac:dyDescent="0.25">
      <c r="A72" s="1" t="s">
        <v>58</v>
      </c>
      <c r="B72" s="45"/>
      <c r="D72" s="139" t="s">
        <v>58</v>
      </c>
      <c r="E72" s="143">
        <f>(E70)+(E71)</f>
        <v>388.48</v>
      </c>
      <c r="F72" s="143">
        <f>(F70)+(F71)</f>
        <v>366.63</v>
      </c>
      <c r="G72" s="143">
        <f t="shared" si="48"/>
        <v>21.850000000000023</v>
      </c>
      <c r="H72" s="144">
        <f t="shared" si="49"/>
        <v>1.059596868777787</v>
      </c>
      <c r="I72" s="143">
        <f>(I70)+(I71)</f>
        <v>722.53</v>
      </c>
      <c r="J72" s="143">
        <f>(J70)+(J71)</f>
        <v>700.56000000000006</v>
      </c>
      <c r="K72" s="143">
        <f t="shared" si="50"/>
        <v>21.969999999999914</v>
      </c>
      <c r="L72" s="144">
        <f t="shared" si="51"/>
        <v>1.031360625785086</v>
      </c>
      <c r="M72" s="143">
        <f t="shared" si="52"/>
        <v>1111.01</v>
      </c>
      <c r="N72" s="143"/>
      <c r="O72" s="143">
        <f t="shared" si="53"/>
        <v>1067.19</v>
      </c>
      <c r="P72" s="143"/>
      <c r="Q72" s="143">
        <f t="shared" si="54"/>
        <v>43.819999999999936</v>
      </c>
      <c r="R72" s="143"/>
      <c r="S72" s="144">
        <f t="shared" si="55"/>
        <v>1.0410611043956559</v>
      </c>
      <c r="T72" s="155" t="s">
        <v>58</v>
      </c>
      <c r="U72" s="152">
        <f>(U70)+(U71)</f>
        <v>355.53999999999996</v>
      </c>
      <c r="V72" s="152">
        <f>(V70)+(V71)</f>
        <v>0</v>
      </c>
      <c r="W72" s="152">
        <f t="shared" si="56"/>
        <v>355.53999999999996</v>
      </c>
      <c r="X72" s="153" t="str">
        <f t="shared" si="57"/>
        <v/>
      </c>
      <c r="Y72" s="152">
        <f>(Y70)+(Y71)</f>
        <v>711.07</v>
      </c>
      <c r="Z72" s="152">
        <f>(Z70)+(Z71)</f>
        <v>0</v>
      </c>
      <c r="AA72" s="152">
        <f t="shared" si="58"/>
        <v>711.07</v>
      </c>
      <c r="AB72" s="153" t="str">
        <f t="shared" si="59"/>
        <v/>
      </c>
      <c r="AC72" s="152">
        <f t="shared" si="60"/>
        <v>1066.6100000000001</v>
      </c>
    </row>
    <row r="73" spans="1:29" x14ac:dyDescent="0.25">
      <c r="A73" s="1" t="s">
        <v>59</v>
      </c>
      <c r="B73" s="44"/>
      <c r="D73" s="139" t="s">
        <v>59</v>
      </c>
      <c r="E73" s="141">
        <f>40</f>
        <v>40</v>
      </c>
      <c r="F73" s="141">
        <f>97.77</f>
        <v>97.77</v>
      </c>
      <c r="G73" s="141">
        <f t="shared" si="48"/>
        <v>-57.769999999999996</v>
      </c>
      <c r="H73" s="142">
        <f t="shared" si="49"/>
        <v>0.40912345300194336</v>
      </c>
      <c r="I73" s="141">
        <f>240</f>
        <v>240</v>
      </c>
      <c r="J73" s="141">
        <f>186.81</f>
        <v>186.81</v>
      </c>
      <c r="K73" s="141">
        <f t="shared" si="50"/>
        <v>53.19</v>
      </c>
      <c r="L73" s="142">
        <f t="shared" si="51"/>
        <v>1.2847277982977356</v>
      </c>
      <c r="M73" s="141">
        <f t="shared" si="52"/>
        <v>280</v>
      </c>
      <c r="N73" s="141"/>
      <c r="O73" s="141">
        <f t="shared" si="53"/>
        <v>284.58</v>
      </c>
      <c r="P73" s="141"/>
      <c r="Q73" s="141">
        <f t="shared" si="54"/>
        <v>-4.5799999999999841</v>
      </c>
      <c r="R73" s="141"/>
      <c r="S73" s="142">
        <f t="shared" si="55"/>
        <v>0.98390610724576577</v>
      </c>
      <c r="T73" s="155" t="s">
        <v>59</v>
      </c>
      <c r="U73" s="149"/>
      <c r="V73" s="149"/>
      <c r="W73" s="150">
        <f t="shared" si="56"/>
        <v>0</v>
      </c>
      <c r="X73" s="151" t="str">
        <f t="shared" si="57"/>
        <v/>
      </c>
      <c r="Y73" s="150">
        <f>200</f>
        <v>200</v>
      </c>
      <c r="Z73" s="149"/>
      <c r="AA73" s="150">
        <f t="shared" si="58"/>
        <v>200</v>
      </c>
      <c r="AB73" s="151" t="str">
        <f t="shared" si="59"/>
        <v/>
      </c>
      <c r="AC73" s="150">
        <f t="shared" si="60"/>
        <v>200</v>
      </c>
    </row>
    <row r="74" spans="1:29" x14ac:dyDescent="0.25">
      <c r="A74" s="1" t="s">
        <v>60</v>
      </c>
      <c r="B74" s="44"/>
      <c r="D74" s="139" t="s">
        <v>60</v>
      </c>
      <c r="E74" s="141">
        <f>1966.87</f>
        <v>1966.87</v>
      </c>
      <c r="F74" s="141">
        <f>570.3</f>
        <v>570.29999999999995</v>
      </c>
      <c r="G74" s="141">
        <f t="shared" si="48"/>
        <v>1396.57</v>
      </c>
      <c r="H74" s="142">
        <f t="shared" si="49"/>
        <v>3.4488339470454146</v>
      </c>
      <c r="I74" s="141">
        <f>2924.76</f>
        <v>2924.76</v>
      </c>
      <c r="J74" s="141">
        <f>1089.75</f>
        <v>1089.75</v>
      </c>
      <c r="K74" s="141">
        <f t="shared" si="50"/>
        <v>1835.0100000000002</v>
      </c>
      <c r="L74" s="142">
        <f t="shared" si="51"/>
        <v>2.6838816242257399</v>
      </c>
      <c r="M74" s="141">
        <f t="shared" si="52"/>
        <v>4891.63</v>
      </c>
      <c r="N74" s="141"/>
      <c r="O74" s="141">
        <f t="shared" si="53"/>
        <v>1660.05</v>
      </c>
      <c r="P74" s="141"/>
      <c r="Q74" s="141">
        <f t="shared" si="54"/>
        <v>3231.58</v>
      </c>
      <c r="R74" s="141"/>
      <c r="S74" s="142">
        <f t="shared" si="55"/>
        <v>2.9466763049305746</v>
      </c>
      <c r="T74" s="155" t="s">
        <v>60</v>
      </c>
      <c r="U74" s="150">
        <f>1844.73</f>
        <v>1844.73</v>
      </c>
      <c r="V74" s="149"/>
      <c r="W74" s="150">
        <f t="shared" si="56"/>
        <v>1844.73</v>
      </c>
      <c r="X74" s="151" t="str">
        <f t="shared" si="57"/>
        <v/>
      </c>
      <c r="Y74" s="150">
        <f>1224.92</f>
        <v>1224.92</v>
      </c>
      <c r="Z74" s="149"/>
      <c r="AA74" s="150">
        <f t="shared" si="58"/>
        <v>1224.92</v>
      </c>
      <c r="AB74" s="151" t="str">
        <f t="shared" si="59"/>
        <v/>
      </c>
      <c r="AC74" s="150">
        <f t="shared" si="60"/>
        <v>3069.65</v>
      </c>
    </row>
    <row r="75" spans="1:29" x14ac:dyDescent="0.25">
      <c r="A75" s="1" t="s">
        <v>61</v>
      </c>
      <c r="B75" s="45">
        <v>6</v>
      </c>
      <c r="D75" s="139" t="s">
        <v>61</v>
      </c>
      <c r="E75" s="143">
        <f>((((((((((((((((((E47)+(E48))+(E49))+(E53))+(E54))+(E55))+(E56))+(E57))+(E58))+(E59))+(E60))+(E61))+(E62))+(E63))+(E68))+(E69))+(E72))+(E73))+(E74)</f>
        <v>10772.57</v>
      </c>
      <c r="F75" s="143">
        <f>((((((((((((((((((F47)+(F48))+(F49))+(F53))+(F54))+(F55))+(F56))+(F57))+(F58))+(F59))+(F60))+(F61))+(F62))+(F63))+(F68))+(F69))+(F72))+(F73))+(F74)</f>
        <v>9376.65</v>
      </c>
      <c r="G75" s="143">
        <f t="shared" si="48"/>
        <v>1395.92</v>
      </c>
      <c r="H75" s="144">
        <f t="shared" si="49"/>
        <v>1.1488719318733236</v>
      </c>
      <c r="I75" s="143">
        <f>((((((((((((((((((I47)+(I48))+(I49))+(I53))+(I54))+(I55))+(I56))+(I57))+(I58))+(I59))+(I60))+(I61))+(I62))+(I63))+(I68))+(I69))+(I72))+(I73))+(I74)</f>
        <v>18207.79</v>
      </c>
      <c r="J75" s="143">
        <f>((((((((((((((((((J47)+(J48))+(J49))+(J53))+(J54))+(J55))+(J56))+(J57))+(J58))+(J59))+(J60))+(J61))+(J62))+(J63))+(J68))+(J69))+(J72))+(J73))+(J74)</f>
        <v>18037.29</v>
      </c>
      <c r="K75" s="143">
        <f t="shared" si="50"/>
        <v>170.5</v>
      </c>
      <c r="L75" s="144">
        <f t="shared" si="51"/>
        <v>1.0094526395040497</v>
      </c>
      <c r="M75" s="143">
        <f t="shared" si="52"/>
        <v>28980.36</v>
      </c>
      <c r="N75" s="143"/>
      <c r="O75" s="143">
        <f t="shared" si="53"/>
        <v>27413.940000000002</v>
      </c>
      <c r="P75" s="143"/>
      <c r="Q75" s="143">
        <f t="shared" si="54"/>
        <v>1566.4199999999983</v>
      </c>
      <c r="R75" s="143"/>
      <c r="S75" s="144">
        <f t="shared" si="55"/>
        <v>1.0571395428749022</v>
      </c>
      <c r="T75" s="155" t="s">
        <v>61</v>
      </c>
      <c r="U75" s="152">
        <f>(((((((((((((((((U47)+(U48))+(U49))+(U53))+(U54))+(U55))+(U57))+(U58))+(U59))+(U60))+(U61))+(U62))+(U63))+(U68))+(U69))+(U72))+(U73))+(U74)</f>
        <v>11541.490000000002</v>
      </c>
      <c r="V75" s="152">
        <f>(((((((((((((((((V47)+(V48))+(V49))+(V53))+(V54))+(V55))+(V57))+(V58))+(V59))+(V60))+(V61))+(V62))+(V63))+(V68))+(V69))+(V72))+(V73))+(V74)</f>
        <v>0</v>
      </c>
      <c r="W75" s="152">
        <f t="shared" si="56"/>
        <v>11541.490000000002</v>
      </c>
      <c r="X75" s="153" t="str">
        <f t="shared" si="57"/>
        <v/>
      </c>
      <c r="Y75" s="152">
        <f>(((((((((((((((((Y47)+(Y48))+(Y49))+(Y53))+(Y54))+(Y55))+(Y57))+(Y58))+(Y59))+(Y60))+(Y61))+(Y62))+(Y63))+(Y68))+(Y69))+(Y72))+(Y73))+(Y74)</f>
        <v>20787</v>
      </c>
      <c r="Z75" s="152">
        <f>(((((((((((((((((Z47)+(Z48))+(Z49))+(Z53))+(Z54))+(Z55))+(Z57))+(Z58))+(Z59))+(Z60))+(Z61))+(Z62))+(Z63))+(Z68))+(Z69))+(Z72))+(Z73))+(Z74)</f>
        <v>0</v>
      </c>
      <c r="AA75" s="152">
        <f t="shared" si="58"/>
        <v>20787</v>
      </c>
      <c r="AB75" s="153" t="str">
        <f t="shared" si="59"/>
        <v/>
      </c>
      <c r="AC75" s="152">
        <f t="shared" si="60"/>
        <v>32328.49</v>
      </c>
    </row>
    <row r="76" spans="1:29" x14ac:dyDescent="0.25">
      <c r="A76" s="1" t="s">
        <v>235</v>
      </c>
      <c r="B76" s="44"/>
      <c r="D76" s="139" t="s">
        <v>235</v>
      </c>
      <c r="E76" s="140"/>
      <c r="F76" s="141">
        <f>0</f>
        <v>0</v>
      </c>
      <c r="G76" s="141">
        <f t="shared" si="48"/>
        <v>0</v>
      </c>
      <c r="H76" s="142" t="str">
        <f t="shared" si="49"/>
        <v/>
      </c>
      <c r="I76" s="140"/>
      <c r="J76" s="140"/>
      <c r="K76" s="141">
        <f t="shared" si="50"/>
        <v>0</v>
      </c>
      <c r="L76" s="142" t="str">
        <f t="shared" si="51"/>
        <v/>
      </c>
      <c r="M76" s="141">
        <f t="shared" si="52"/>
        <v>0</v>
      </c>
      <c r="N76" s="141"/>
      <c r="O76" s="141">
        <f t="shared" si="53"/>
        <v>0</v>
      </c>
      <c r="P76" s="141"/>
      <c r="Q76" s="141">
        <f t="shared" si="54"/>
        <v>0</v>
      </c>
      <c r="R76" s="141"/>
      <c r="S76" s="142" t="str">
        <f t="shared" si="55"/>
        <v/>
      </c>
    </row>
    <row r="77" spans="1:29" x14ac:dyDescent="0.25">
      <c r="A77" s="1" t="s">
        <v>62</v>
      </c>
      <c r="B77" s="45"/>
      <c r="D77" s="139" t="s">
        <v>62</v>
      </c>
      <c r="E77" s="143">
        <f>(((E37)+(E46))+(E75))+(E76)</f>
        <v>35304.94</v>
      </c>
      <c r="F77" s="143">
        <f>(((F37)+(F46))+(F75))+(F76)</f>
        <v>41205.25</v>
      </c>
      <c r="G77" s="143">
        <f t="shared" si="48"/>
        <v>-5900.3099999999977</v>
      </c>
      <c r="H77" s="144">
        <f t="shared" si="49"/>
        <v>0.85680683893435916</v>
      </c>
      <c r="I77" s="143">
        <f>(((I37)+(I46))+(I75))+(I76)</f>
        <v>73260.639999999999</v>
      </c>
      <c r="J77" s="143">
        <f>(((J37)+(J46))+(J75))+(J76)</f>
        <v>80047.89</v>
      </c>
      <c r="K77" s="143">
        <f t="shared" si="50"/>
        <v>-6787.25</v>
      </c>
      <c r="L77" s="144">
        <f t="shared" si="51"/>
        <v>0.91521013233453119</v>
      </c>
      <c r="M77" s="143">
        <f t="shared" si="52"/>
        <v>108565.58</v>
      </c>
      <c r="N77" s="143"/>
      <c r="O77" s="143">
        <f t="shared" si="53"/>
        <v>121253.14</v>
      </c>
      <c r="P77" s="143"/>
      <c r="Q77" s="143">
        <f t="shared" si="54"/>
        <v>-12687.559999999998</v>
      </c>
      <c r="R77" s="143"/>
      <c r="S77" s="144">
        <f t="shared" si="55"/>
        <v>0.8953630396705603</v>
      </c>
      <c r="T77" s="155" t="s">
        <v>62</v>
      </c>
      <c r="U77" s="152">
        <f>((U37)+(U46))+(U75)</f>
        <v>43983.45</v>
      </c>
      <c r="V77" s="152">
        <f>((V37)+(V46))+(V75)</f>
        <v>0</v>
      </c>
      <c r="W77" s="152">
        <f>(U77)-(V77)</f>
        <v>43983.45</v>
      </c>
      <c r="X77" s="153" t="str">
        <f>IF(V77=0,"",(U77)/(V77))</f>
        <v/>
      </c>
      <c r="Y77" s="152">
        <f>((Y37)+(Y46))+(Y75)</f>
        <v>73663.210000000006</v>
      </c>
      <c r="Z77" s="152">
        <f>((Z37)+(Z46))+(Z75)</f>
        <v>0</v>
      </c>
      <c r="AA77" s="152">
        <f>(Y77)-(Z77)</f>
        <v>73663.210000000006</v>
      </c>
      <c r="AB77" s="153" t="str">
        <f>IF(Z77=0,"",(Y77)/(Z77))</f>
        <v/>
      </c>
      <c r="AC77" s="152">
        <f>(U77)+(Y77)</f>
        <v>117646.66</v>
      </c>
    </row>
    <row r="78" spans="1:29" x14ac:dyDescent="0.25">
      <c r="A78" s="1" t="s">
        <v>63</v>
      </c>
      <c r="B78" s="45"/>
      <c r="D78" s="139" t="s">
        <v>63</v>
      </c>
      <c r="E78" s="143">
        <f>(E26)-(E77)</f>
        <v>4117.43</v>
      </c>
      <c r="F78" s="143">
        <f>(F26)-(F77)</f>
        <v>-1955.2400000000052</v>
      </c>
      <c r="G78" s="143">
        <f t="shared" si="48"/>
        <v>6072.6700000000055</v>
      </c>
      <c r="H78" s="144">
        <f t="shared" si="49"/>
        <v>-2.1058437838833028</v>
      </c>
      <c r="I78" s="143">
        <f>(I26)-(I77)</f>
        <v>-35309.94</v>
      </c>
      <c r="J78" s="143">
        <f>(J26)-(J77)</f>
        <v>-40047.9</v>
      </c>
      <c r="K78" s="143">
        <f t="shared" si="50"/>
        <v>4737.9599999999991</v>
      </c>
      <c r="L78" s="144">
        <f t="shared" si="51"/>
        <v>0.88169267302405374</v>
      </c>
      <c r="M78" s="143">
        <f t="shared" si="52"/>
        <v>-31192.510000000002</v>
      </c>
      <c r="N78" s="143"/>
      <c r="O78" s="143">
        <f t="shared" si="53"/>
        <v>-42003.140000000007</v>
      </c>
      <c r="P78" s="143"/>
      <c r="Q78" s="143">
        <f t="shared" si="54"/>
        <v>10810.630000000005</v>
      </c>
      <c r="R78" s="143"/>
      <c r="S78" s="144">
        <f t="shared" si="55"/>
        <v>0.74262328959215895</v>
      </c>
      <c r="T78" s="155" t="s">
        <v>63</v>
      </c>
      <c r="U78" s="152">
        <f>(U26)-(U77)</f>
        <v>4826.0500000000029</v>
      </c>
      <c r="V78" s="152">
        <f>(V26)-(V77)</f>
        <v>0</v>
      </c>
      <c r="W78" s="152">
        <f>(U78)-(V78)</f>
        <v>4826.0500000000029</v>
      </c>
      <c r="X78" s="153" t="str">
        <f>IF(V78=0,"",(U78)/(V78))</f>
        <v/>
      </c>
      <c r="Y78" s="152">
        <f>(Y26)-(Y77)</f>
        <v>-32672.960000000006</v>
      </c>
      <c r="Z78" s="152">
        <f>(Z26)-(Z77)</f>
        <v>0</v>
      </c>
      <c r="AA78" s="152">
        <f>(Y78)-(Z78)</f>
        <v>-32672.960000000006</v>
      </c>
      <c r="AB78" s="153" t="str">
        <f>IF(Z78=0,"",(Y78)/(Z78))</f>
        <v/>
      </c>
      <c r="AC78" s="152">
        <f>(U78)+(Y78)</f>
        <v>-27846.910000000003</v>
      </c>
    </row>
    <row r="79" spans="1:29" x14ac:dyDescent="0.25">
      <c r="A79" s="1" t="s">
        <v>64</v>
      </c>
      <c r="B79" s="45"/>
      <c r="D79" s="139" t="s">
        <v>64</v>
      </c>
      <c r="E79" s="143">
        <f>(E78)+(0)</f>
        <v>4117.43</v>
      </c>
      <c r="F79" s="143">
        <f>(F78)+(0)</f>
        <v>-1955.2400000000052</v>
      </c>
      <c r="G79" s="143">
        <f t="shared" si="48"/>
        <v>6072.6700000000055</v>
      </c>
      <c r="H79" s="144">
        <f t="shared" si="49"/>
        <v>-2.1058437838833028</v>
      </c>
      <c r="I79" s="143">
        <f>(I78)+(0)</f>
        <v>-35309.94</v>
      </c>
      <c r="J79" s="143">
        <f>(J78)+(0)</f>
        <v>-40047.9</v>
      </c>
      <c r="K79" s="143">
        <f t="shared" si="50"/>
        <v>4737.9599999999991</v>
      </c>
      <c r="L79" s="144">
        <f t="shared" si="51"/>
        <v>0.88169267302405374</v>
      </c>
      <c r="M79" s="143">
        <f t="shared" si="52"/>
        <v>-31192.510000000002</v>
      </c>
      <c r="N79" s="143"/>
      <c r="O79" s="143">
        <f t="shared" si="53"/>
        <v>-42003.140000000007</v>
      </c>
      <c r="P79" s="143"/>
      <c r="Q79" s="143">
        <f t="shared" si="54"/>
        <v>10810.630000000005</v>
      </c>
      <c r="R79" s="143"/>
      <c r="S79" s="144">
        <f t="shared" si="55"/>
        <v>0.74262328959215895</v>
      </c>
      <c r="T79" s="155" t="s">
        <v>64</v>
      </c>
      <c r="U79" s="152">
        <f>(U78)+(0)</f>
        <v>4826.0500000000029</v>
      </c>
      <c r="V79" s="152">
        <f>(V78)+(0)</f>
        <v>0</v>
      </c>
      <c r="W79" s="152">
        <f>(U79)-(V79)</f>
        <v>4826.0500000000029</v>
      </c>
      <c r="X79" s="153" t="str">
        <f>IF(V79=0,"",(U79)/(V79))</f>
        <v/>
      </c>
      <c r="Y79" s="152">
        <f>(Y78)+(0)</f>
        <v>-32672.960000000006</v>
      </c>
      <c r="Z79" s="152">
        <f>(Z78)+(0)</f>
        <v>0</v>
      </c>
      <c r="AA79" s="152">
        <f>(Y79)-(Z79)</f>
        <v>-32672.960000000006</v>
      </c>
      <c r="AB79" s="153" t="str">
        <f>IF(Z79=0,"",(Y79)/(Z79))</f>
        <v/>
      </c>
      <c r="AC79" s="152">
        <f>(U79)+(Y79)</f>
        <v>-27846.910000000003</v>
      </c>
    </row>
    <row r="80" spans="1:29" x14ac:dyDescent="0.25">
      <c r="A80" s="66"/>
      <c r="B80" s="26"/>
    </row>
  </sheetData>
  <mergeCells count="5">
    <mergeCell ref="D1:S1"/>
    <mergeCell ref="D2:S2"/>
    <mergeCell ref="E3:H3"/>
    <mergeCell ref="I3:L3"/>
    <mergeCell ref="M3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workbookViewId="0"/>
  </sheetViews>
  <sheetFormatPr defaultColWidth="9.140625" defaultRowHeight="12" x14ac:dyDescent="0.2"/>
  <cols>
    <col min="1" max="1" width="34.42578125" style="34" bestFit="1" customWidth="1"/>
    <col min="2" max="2" width="11" style="34" hidden="1" customWidth="1"/>
    <col min="3" max="4" width="11" style="34" customWidth="1"/>
    <col min="5" max="5" width="11" style="34" hidden="1" customWidth="1"/>
    <col min="6" max="6" width="11" style="34" customWidth="1"/>
    <col min="7" max="9" width="11.42578125" style="36" hidden="1" customWidth="1"/>
    <col min="10" max="10" width="11.42578125" style="36" customWidth="1"/>
    <col min="11" max="18" width="11" style="34" hidden="1" customWidth="1"/>
    <col min="19" max="19" width="11" style="34" customWidth="1"/>
    <col min="20" max="20" width="11" style="34" hidden="1" customWidth="1"/>
    <col min="21" max="22" width="11" style="34" bestFit="1" customWidth="1"/>
    <col min="23" max="25" width="11" style="34" hidden="1" customWidth="1"/>
    <col min="26" max="28" width="11.28515625" style="34" hidden="1" customWidth="1"/>
    <col min="29" max="16384" width="9.140625" style="34"/>
  </cols>
  <sheetData>
    <row r="1" spans="1:28" x14ac:dyDescent="0.2">
      <c r="A1" s="33" t="s">
        <v>196</v>
      </c>
      <c r="B1" s="102"/>
      <c r="C1" s="102"/>
      <c r="D1" s="102"/>
      <c r="E1" s="102"/>
      <c r="F1" s="102"/>
      <c r="G1" s="103"/>
    </row>
    <row r="2" spans="1:28" x14ac:dyDescent="0.2">
      <c r="A2" s="37" t="s">
        <v>190</v>
      </c>
      <c r="B2" s="84"/>
      <c r="C2" s="84"/>
      <c r="D2" s="84"/>
      <c r="E2" s="84"/>
      <c r="F2" s="84"/>
      <c r="G2" s="38"/>
    </row>
    <row r="3" spans="1:28" x14ac:dyDescent="0.2">
      <c r="D3" s="84"/>
      <c r="E3" s="84"/>
      <c r="F3" s="84"/>
      <c r="G3" s="38"/>
      <c r="H3" s="38"/>
      <c r="I3" s="38"/>
      <c r="J3" s="38"/>
    </row>
    <row r="4" spans="1:28" x14ac:dyDescent="0.2">
      <c r="A4" s="47"/>
      <c r="B4" s="48">
        <v>41274</v>
      </c>
      <c r="C4" s="48">
        <v>41639</v>
      </c>
      <c r="D4" s="48">
        <v>42004</v>
      </c>
      <c r="E4" s="48">
        <v>42369</v>
      </c>
      <c r="F4" s="48">
        <v>42369</v>
      </c>
      <c r="G4" s="49">
        <v>42460</v>
      </c>
      <c r="H4" s="49">
        <v>42551</v>
      </c>
      <c r="I4" s="49">
        <v>42643</v>
      </c>
      <c r="J4" s="49">
        <v>42735</v>
      </c>
      <c r="K4" s="48">
        <v>42551</v>
      </c>
      <c r="L4" s="48">
        <v>42735</v>
      </c>
      <c r="M4" s="48">
        <v>42825</v>
      </c>
      <c r="N4" s="48">
        <v>42825</v>
      </c>
      <c r="O4" s="48">
        <v>42916</v>
      </c>
      <c r="P4" s="48">
        <v>42916</v>
      </c>
      <c r="Q4" s="48">
        <v>43008</v>
      </c>
      <c r="R4" s="48">
        <v>43008</v>
      </c>
      <c r="S4" s="48">
        <v>43100</v>
      </c>
      <c r="T4" s="48">
        <v>43100</v>
      </c>
      <c r="U4" s="48">
        <v>43190</v>
      </c>
      <c r="V4" s="48">
        <v>43190</v>
      </c>
      <c r="W4" s="48">
        <v>43281</v>
      </c>
      <c r="X4" s="48">
        <v>43373</v>
      </c>
      <c r="Y4" s="48">
        <v>43465</v>
      </c>
      <c r="Z4" s="48">
        <v>43465</v>
      </c>
      <c r="AA4" s="48">
        <v>43830</v>
      </c>
      <c r="AB4" s="104">
        <v>44196</v>
      </c>
    </row>
    <row r="5" spans="1:28" x14ac:dyDescent="0.2">
      <c r="A5" s="47"/>
      <c r="B5" s="50" t="s">
        <v>171</v>
      </c>
      <c r="C5" s="50" t="s">
        <v>171</v>
      </c>
      <c r="D5" s="48" t="s">
        <v>171</v>
      </c>
      <c r="E5" s="48" t="s">
        <v>250</v>
      </c>
      <c r="F5" s="51" t="s">
        <v>171</v>
      </c>
      <c r="G5" s="86" t="s">
        <v>250</v>
      </c>
      <c r="H5" s="86" t="s">
        <v>250</v>
      </c>
      <c r="I5" s="86" t="s">
        <v>250</v>
      </c>
      <c r="J5" s="51" t="s">
        <v>171</v>
      </c>
      <c r="K5" s="50" t="s">
        <v>172</v>
      </c>
      <c r="L5" s="50" t="s">
        <v>172</v>
      </c>
      <c r="M5" s="50" t="s">
        <v>197</v>
      </c>
      <c r="N5" s="50" t="s">
        <v>172</v>
      </c>
      <c r="O5" s="50" t="s">
        <v>197</v>
      </c>
      <c r="P5" s="50" t="s">
        <v>172</v>
      </c>
      <c r="Q5" s="50" t="s">
        <v>197</v>
      </c>
      <c r="R5" s="50" t="s">
        <v>172</v>
      </c>
      <c r="S5" s="50" t="s">
        <v>197</v>
      </c>
      <c r="T5" s="50" t="s">
        <v>172</v>
      </c>
      <c r="U5" s="50" t="s">
        <v>197</v>
      </c>
      <c r="V5" s="50" t="s">
        <v>172</v>
      </c>
      <c r="W5" s="50" t="s">
        <v>172</v>
      </c>
      <c r="X5" s="50" t="s">
        <v>172</v>
      </c>
      <c r="Y5" s="50" t="s">
        <v>172</v>
      </c>
      <c r="Z5" s="50" t="s">
        <v>251</v>
      </c>
      <c r="AA5" s="50" t="s">
        <v>251</v>
      </c>
      <c r="AB5" s="87" t="s">
        <v>251</v>
      </c>
    </row>
    <row r="6" spans="1:28" x14ac:dyDescent="0.2">
      <c r="A6" s="47" t="s">
        <v>191</v>
      </c>
      <c r="B6" s="90"/>
      <c r="C6" s="90"/>
      <c r="D6" s="90"/>
      <c r="E6" s="95"/>
      <c r="F6" s="95"/>
      <c r="G6" s="105"/>
      <c r="H6" s="52"/>
      <c r="I6" s="52"/>
      <c r="J6" s="52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89"/>
    </row>
    <row r="7" spans="1:28" x14ac:dyDescent="0.2">
      <c r="A7" s="47"/>
      <c r="B7" s="90"/>
      <c r="C7" s="90"/>
      <c r="D7" s="90"/>
      <c r="E7" s="95"/>
      <c r="F7" s="95"/>
      <c r="G7" s="105"/>
      <c r="H7" s="52"/>
      <c r="I7" s="52"/>
      <c r="J7" s="52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89"/>
    </row>
    <row r="8" spans="1:28" x14ac:dyDescent="0.2">
      <c r="A8" s="47" t="s">
        <v>198</v>
      </c>
      <c r="B8" s="91">
        <v>1754812</v>
      </c>
      <c r="C8" s="91">
        <v>341431</v>
      </c>
      <c r="D8" s="92">
        <v>254306</v>
      </c>
      <c r="E8" s="92">
        <f>SUM('[1]Trial Balances'!H3:H16)+'[1]Trial Balances'!H18</f>
        <v>403795.37</v>
      </c>
      <c r="F8" s="92">
        <v>378638</v>
      </c>
      <c r="G8" s="106">
        <f>SUM('[1]Trial Balances'!M3:M16)+'[1]Trial Balances'!M18</f>
        <v>442273.88</v>
      </c>
      <c r="H8" s="52">
        <f>SUM('[1]Trial Balances'!R3:R13)+'[1]Trial Balances'!R15</f>
        <v>473387.64</v>
      </c>
      <c r="I8" s="52">
        <f>SUM('[1]Trial Balances'!AA3:AA14)+'[1]Trial Balances'!AA16</f>
        <v>225657.12999999998</v>
      </c>
      <c r="J8" s="52">
        <v>307514</v>
      </c>
      <c r="K8" s="52">
        <f>SUM('[1]Trial Balances'!W3:W13)+'[1]Trial Balances'!W15</f>
        <v>116833.43000000001</v>
      </c>
      <c r="L8" s="52">
        <f>SUM('[1]Trial Balances'!AE3:AE13)+'[1]Trial Balances'!AE15</f>
        <v>276908.43</v>
      </c>
      <c r="M8" s="52">
        <f>SUM('[1]Trial Balances'!AM2:AM9)+'[1]Trial Balances'!AM11</f>
        <v>307716.31000000006</v>
      </c>
      <c r="N8" s="52">
        <f>N17-SUM(N9:N15)</f>
        <v>155510.75</v>
      </c>
      <c r="O8" s="52">
        <f>SUM('[1]Trial Balances'!AQ2:AQ9)+'[1]Trial Balances'!AQ13</f>
        <v>385196.65</v>
      </c>
      <c r="P8" s="52">
        <f t="shared" ref="P8:AB8" si="0">P17-SUM(P9:P15)</f>
        <v>191757.31850000005</v>
      </c>
      <c r="Q8" s="52">
        <f>SUM('[1]Trial Balances'!AU2:AU10)</f>
        <v>415892.22</v>
      </c>
      <c r="R8" s="52">
        <f t="shared" si="0"/>
        <v>254876.66999999993</v>
      </c>
      <c r="S8" s="52">
        <f>SUM('[1]Trial Balances'!AY2:AY10)</f>
        <v>599172.18000000005</v>
      </c>
      <c r="T8" s="52">
        <f t="shared" si="0"/>
        <v>441544.42099999823</v>
      </c>
      <c r="U8" s="52">
        <f>SUM('[1]Trial Balances'!BC2:BC13)</f>
        <v>415327.15000000008</v>
      </c>
      <c r="V8" s="52">
        <f>V17-SUM(V9:V15)</f>
        <v>487386.19000000414</v>
      </c>
      <c r="W8" s="52">
        <f t="shared" ref="W8:Y8" si="1">W17-SUM(W9:W15)</f>
        <v>651740.00000000373</v>
      </c>
      <c r="X8" s="52">
        <f t="shared" si="1"/>
        <v>755303.53000000492</v>
      </c>
      <c r="Y8" s="52">
        <f t="shared" si="1"/>
        <v>759661.71000000462</v>
      </c>
      <c r="Z8" s="52">
        <f t="shared" si="0"/>
        <v>1090341.1536728162</v>
      </c>
      <c r="AA8" s="52">
        <f t="shared" si="0"/>
        <v>1209436.8065846991</v>
      </c>
      <c r="AB8" s="94">
        <f t="shared" si="0"/>
        <v>1326012.9375968818</v>
      </c>
    </row>
    <row r="9" spans="1:28" x14ac:dyDescent="0.2">
      <c r="A9" s="47" t="s">
        <v>199</v>
      </c>
      <c r="B9" s="91"/>
      <c r="C9" s="91">
        <v>282954</v>
      </c>
      <c r="D9" s="92">
        <v>845268</v>
      </c>
      <c r="E9" s="92">
        <f>'[1]Trial Balances'!H17</f>
        <v>813907.17</v>
      </c>
      <c r="F9" s="92">
        <v>813907</v>
      </c>
      <c r="G9" s="106">
        <f>'[1]Trial Balances'!M17</f>
        <v>809608.07</v>
      </c>
      <c r="H9" s="52">
        <f>'[1]Trial Balances'!R14</f>
        <v>628248.38</v>
      </c>
      <c r="I9" s="52">
        <f>'[1]Trial Balances'!AA15</f>
        <v>646534.53</v>
      </c>
      <c r="J9" s="52">
        <v>648230</v>
      </c>
      <c r="K9" s="52">
        <f>'[1]Trial Balances'!W14</f>
        <v>835000</v>
      </c>
      <c r="L9" s="52">
        <f>'[1]Trial Balances'!AE14</f>
        <v>835000</v>
      </c>
      <c r="M9" s="52">
        <f>'[1]Trial Balances'!AM10</f>
        <v>673260.43</v>
      </c>
      <c r="N9" s="52">
        <f>J9</f>
        <v>648230</v>
      </c>
      <c r="O9" s="52">
        <f>'[1]Trial Balances'!AQ10+'[1]Trial Balances'!AQ12</f>
        <v>374062.37</v>
      </c>
      <c r="P9" s="52">
        <f>T9</f>
        <v>323230</v>
      </c>
      <c r="Q9" s="52">
        <f>'[1]Trial Balances'!AU11</f>
        <v>302305.13</v>
      </c>
      <c r="R9" s="52">
        <f>P9</f>
        <v>323230</v>
      </c>
      <c r="S9" s="52">
        <f>'[1]Trial Balances'!AY11</f>
        <v>308563.82</v>
      </c>
      <c r="T9" s="52">
        <f>J9-[1]Assumptions!B7</f>
        <v>323230</v>
      </c>
      <c r="U9" s="52">
        <f>'[1]Trial Balances'!BC14</f>
        <v>310110.40000000002</v>
      </c>
      <c r="V9" s="52">
        <v>335000</v>
      </c>
      <c r="W9" s="52">
        <v>335500</v>
      </c>
      <c r="X9" s="52">
        <v>336000</v>
      </c>
      <c r="Y9" s="52">
        <f>T9*1.045</f>
        <v>337775.35</v>
      </c>
      <c r="Z9" s="93">
        <f>T9+'[1]ICNC Activities'!AD15-[1]Assumptions!B35</f>
        <v>229210</v>
      </c>
      <c r="AA9" s="52">
        <f>Z9+'[1]ICNC Activities'!AF15-[1]Assumptions!B54</f>
        <v>233450.38500000001</v>
      </c>
      <c r="AB9" s="94">
        <f>AA9+'[1]ICNC Activities'!AG15-[1]Assumptions!B73</f>
        <v>237769.21712250001</v>
      </c>
    </row>
    <row r="10" spans="1:28" hidden="1" x14ac:dyDescent="0.2">
      <c r="A10" s="47" t="s">
        <v>200</v>
      </c>
      <c r="B10" s="91">
        <v>417099</v>
      </c>
      <c r="C10" s="91">
        <v>125830</v>
      </c>
      <c r="D10" s="92">
        <v>125842</v>
      </c>
      <c r="E10" s="92">
        <v>0</v>
      </c>
      <c r="F10" s="92">
        <v>25156</v>
      </c>
      <c r="G10" s="106">
        <v>0</v>
      </c>
      <c r="H10" s="52">
        <v>0</v>
      </c>
      <c r="I10" s="52">
        <v>0</v>
      </c>
      <c r="J10" s="52"/>
      <c r="K10" s="52"/>
      <c r="L10" s="52">
        <v>0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3"/>
      <c r="AA10" s="52"/>
      <c r="AB10" s="94"/>
    </row>
    <row r="11" spans="1:28" x14ac:dyDescent="0.2">
      <c r="A11" s="54" t="s">
        <v>201</v>
      </c>
      <c r="B11" s="107">
        <v>128365</v>
      </c>
      <c r="C11" s="107">
        <v>100816</v>
      </c>
      <c r="D11" s="92">
        <v>76962</v>
      </c>
      <c r="E11" s="92">
        <f>SUM('[1]Trial Balances'!H19:H23)</f>
        <v>79463.859999999986</v>
      </c>
      <c r="F11" s="92">
        <v>44699</v>
      </c>
      <c r="G11" s="106">
        <f>SUM('[1]Trial Balances'!M19:M21)</f>
        <v>21497.820000000007</v>
      </c>
      <c r="H11" s="52">
        <f>SUM('[1]Trial Balances'!R16:R17)</f>
        <v>14501.790000000008</v>
      </c>
      <c r="I11" s="52">
        <f>SUM('[1]Trial Balances'!AA17:AA18)</f>
        <v>8550.4400000000023</v>
      </c>
      <c r="J11" s="52">
        <v>26415</v>
      </c>
      <c r="K11" s="52">
        <f>SUM('[1]Trial Balances'!W16:W17)</f>
        <v>14967</v>
      </c>
      <c r="L11" s="52">
        <f>SUM('[1]Trial Balances'!AE16:AE17)</f>
        <v>14967</v>
      </c>
      <c r="M11" s="52">
        <f>SUM('[1]Trial Balances'!AM12:AM13)</f>
        <v>-11031.160000000003</v>
      </c>
      <c r="N11" s="52">
        <v>33000</v>
      </c>
      <c r="O11" s="52">
        <f>SUM('[1]Trial Balances'!AQ14:AQ16)+'[1]Trial Balances'!AQ44</f>
        <v>-4661.3600000000006</v>
      </c>
      <c r="P11" s="52">
        <v>33000</v>
      </c>
      <c r="Q11" s="52">
        <f>SUM('[1]Trial Balances'!AU12:AU13)+'[1]Trial Balances'!AU40</f>
        <v>2296.7999999999993</v>
      </c>
      <c r="R11" s="52">
        <v>33000</v>
      </c>
      <c r="S11" s="52">
        <f>SUM('[1]Trial Balances'!AY12:AY13)+'[1]Trial Balances'!AY40</f>
        <v>-2022.9200000000019</v>
      </c>
      <c r="T11" s="52">
        <f>'[1]ICNC Activities'!AD18*[1]Assumptions!B10</f>
        <v>32929.537499999999</v>
      </c>
      <c r="U11" s="52">
        <f>SUM('[1]Trial Balances'!BC16:BC17)+'[1]Trial Balances'!BC44</f>
        <v>20780.849999999999</v>
      </c>
      <c r="V11" s="52">
        <v>33000</v>
      </c>
      <c r="W11" s="52">
        <v>33000</v>
      </c>
      <c r="X11" s="52">
        <v>33000</v>
      </c>
      <c r="Y11" s="52">
        <v>33000</v>
      </c>
      <c r="Z11" s="52">
        <f>'[1]ICNC Activities'!AF18*[1]Assumptions!B40</f>
        <v>36660.276437499997</v>
      </c>
      <c r="AA11" s="52">
        <f>'[1]ICNC Activities'!AG18*[1]Assumptions!B59</f>
        <v>37697.662675281252</v>
      </c>
      <c r="AB11" s="94">
        <f>'[1]ICNC Activities'!AH18*[1]Assumptions!B78</f>
        <v>38733.034223422081</v>
      </c>
    </row>
    <row r="12" spans="1:28" x14ac:dyDescent="0.2">
      <c r="A12" s="47" t="s">
        <v>202</v>
      </c>
      <c r="B12" s="91">
        <v>28807</v>
      </c>
      <c r="C12" s="91">
        <v>84984</v>
      </c>
      <c r="D12" s="92">
        <v>53896</v>
      </c>
      <c r="E12" s="92">
        <f>'[1]Trial Balances'!H24</f>
        <v>118894.65</v>
      </c>
      <c r="F12" s="92">
        <v>118895</v>
      </c>
      <c r="G12" s="108">
        <f>'[1]Trial Balances'!M24</f>
        <v>62032.86</v>
      </c>
      <c r="H12" s="52">
        <f>'[1]Trial Balances'!R18</f>
        <v>82508.740000000005</v>
      </c>
      <c r="I12" s="52">
        <f>SUM('[1]Trial Balances'!AA19)</f>
        <v>100744.84</v>
      </c>
      <c r="J12" s="52">
        <v>90266</v>
      </c>
      <c r="K12" s="52">
        <f>'[1]Trial Balances'!W18</f>
        <v>38000</v>
      </c>
      <c r="L12" s="52">
        <f>'[1]Trial Balances'!AE18</f>
        <v>38000</v>
      </c>
      <c r="M12" s="52">
        <f>'[1]Trial Balances'!AM14</f>
        <v>65181.58</v>
      </c>
      <c r="N12" s="52">
        <v>60000</v>
      </c>
      <c r="O12" s="52">
        <f>'[1]Trial Balances'!AQ17</f>
        <v>77511.92</v>
      </c>
      <c r="P12" s="52">
        <v>60000</v>
      </c>
      <c r="Q12" s="52">
        <f>'[1]Trial Balances'!AU14</f>
        <v>46970.9</v>
      </c>
      <c r="R12" s="52">
        <v>60000</v>
      </c>
      <c r="S12" s="52">
        <f>SUM('[1]Trial Balances'!AY14)</f>
        <v>76393.960000000006</v>
      </c>
      <c r="T12" s="52">
        <f>'[1]ICNC Activities'!AD18*[1]Assumptions!B11</f>
        <v>59273.167499999996</v>
      </c>
      <c r="U12" s="52">
        <f>'[1]Trial Balances'!BC15</f>
        <v>87559.25</v>
      </c>
      <c r="V12" s="52">
        <v>87500</v>
      </c>
      <c r="W12" s="52">
        <v>47000</v>
      </c>
      <c r="X12" s="52">
        <v>20000</v>
      </c>
      <c r="Y12" s="52">
        <v>20000</v>
      </c>
      <c r="Z12" s="52">
        <f>'[1]ICNC Activities'!AF18*[1]Assumptions!B41</f>
        <v>65988.497587499995</v>
      </c>
      <c r="AA12" s="52">
        <f>'[1]ICNC Activities'!AG18*[1]Assumptions!B60</f>
        <v>67855.792815506255</v>
      </c>
      <c r="AB12" s="94">
        <f>'[1]ICNC Activities'!AH18*[1]Assumptions!B79</f>
        <v>69719.461602159747</v>
      </c>
    </row>
    <row r="13" spans="1:28" x14ac:dyDescent="0.2">
      <c r="A13" s="47" t="s">
        <v>203</v>
      </c>
      <c r="B13" s="91">
        <v>86051</v>
      </c>
      <c r="C13" s="91">
        <v>116130</v>
      </c>
      <c r="D13" s="92">
        <v>149428</v>
      </c>
      <c r="E13" s="92">
        <f>SUM('[1]Trial Balances'!H27:H28)+'[1]Trial Balances'!H67+'[1]Trial Balances'!H63</f>
        <v>176637.29</v>
      </c>
      <c r="F13" s="92">
        <v>153156</v>
      </c>
      <c r="G13" s="106">
        <f>'[1]Trial Balances'!M66+'[1]Trial Balances'!M62+SUM('[1]Trial Balances'!M27:M29)</f>
        <v>144368.64000000001</v>
      </c>
      <c r="H13" s="52">
        <f>SUM('[1]Trial Balances'!R21:R22)+'[1]Trial Balances'!R24+'[1]Trial Balances'!R61+'[1]Trial Balances'!R57</f>
        <v>142707.97</v>
      </c>
      <c r="I13" s="52">
        <f>'[1]Trial Balances'!AA22+'[1]Trial Balances'!AA23+'[1]Trial Balances'!AA25+'[1]Trial Balances'!AA66+'[1]Trial Balances'!AA70</f>
        <v>105642.02</v>
      </c>
      <c r="J13" s="52">
        <v>122083</v>
      </c>
      <c r="K13" s="52">
        <f>'[1]Trial Balances'!W22+'[1]Trial Balances'!W21+'[1]Trial Balances'!W24+'[1]Trial Balances'!W57+'[1]Trial Balances'!W61</f>
        <v>142707.97</v>
      </c>
      <c r="L13" s="52">
        <f>'[1]Trial Balances'!AE21+'[1]Trial Balances'!AE22+'[1]Trial Balances'!AE24+'[1]Trial Balances'!AE57+'[1]Trial Balances'!AE61</f>
        <v>142707.97</v>
      </c>
      <c r="M13" s="52">
        <f>SUM('[1]Trial Balances'!AM17:AM23)+'[1]Trial Balances'!AM53+'[1]Trial Balances'!AM56</f>
        <v>64377.780000000006</v>
      </c>
      <c r="N13" s="52">
        <v>125000</v>
      </c>
      <c r="O13" s="52">
        <f>SUM('[1]Trial Balances'!AQ20:AQ26)+'[1]Trial Balances'!AQ57+'[1]Trial Balances'!AQ60</f>
        <v>62550.659999999996</v>
      </c>
      <c r="P13" s="52">
        <v>125000</v>
      </c>
      <c r="Q13" s="52">
        <f>SUM('[1]Trial Balances'!AU17:AU22)+'[1]Trial Balances'!AU51+'[1]Trial Balances'!AU54</f>
        <v>43401.97</v>
      </c>
      <c r="R13" s="52">
        <v>125000</v>
      </c>
      <c r="S13" s="52">
        <f>SUM('[1]Trial Balances'!AY17:AY22)</f>
        <v>83417.62</v>
      </c>
      <c r="T13" s="52">
        <f>'[1]ICNC Activities'!AD24*[1]Assumptions!B12</f>
        <v>118610.1125</v>
      </c>
      <c r="U13" s="52">
        <f>SUM('[1]Trial Balances'!BC20:BC25)+'[1]Trial Balances'!BC57+'[1]Trial Balances'!BC60</f>
        <v>70843.200000000012</v>
      </c>
      <c r="V13" s="52">
        <v>125000</v>
      </c>
      <c r="W13" s="52">
        <v>125000</v>
      </c>
      <c r="X13" s="52">
        <v>125000</v>
      </c>
      <c r="Y13" s="52">
        <v>125000</v>
      </c>
      <c r="Z13" s="52">
        <f>'[1]ICNC Activities'!AF24*[1]Assumptions!B42</f>
        <v>127084.17056871802</v>
      </c>
      <c r="AA13" s="52">
        <f>'[1]ICNC Activities'!AG24*[1]Assumptions!B61</f>
        <v>130507.80304646821</v>
      </c>
      <c r="AB13" s="94">
        <f>'[1]ICNC Activities'!AH24*[1]Assumptions!B80</f>
        <v>134029.79271144888</v>
      </c>
    </row>
    <row r="14" spans="1:28" x14ac:dyDescent="0.2">
      <c r="A14" s="47" t="s">
        <v>178</v>
      </c>
      <c r="B14" s="91"/>
      <c r="C14" s="91"/>
      <c r="D14" s="92"/>
      <c r="E14" s="92"/>
      <c r="F14" s="92"/>
      <c r="G14" s="106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>
        <f>[1]Assumptions!B17</f>
        <v>0</v>
      </c>
      <c r="U14" s="52"/>
      <c r="V14" s="52">
        <v>0</v>
      </c>
      <c r="W14" s="52">
        <v>0</v>
      </c>
      <c r="X14" s="52">
        <v>100000</v>
      </c>
      <c r="Y14" s="52">
        <v>300000</v>
      </c>
      <c r="Z14" s="52">
        <f>T14+[1]Assumptions!B37</f>
        <v>0</v>
      </c>
      <c r="AA14" s="52">
        <f>Z14+[1]Assumptions!B56</f>
        <v>0</v>
      </c>
      <c r="AB14" s="94">
        <f>AA14+[1]Assumptions!B75</f>
        <v>55000</v>
      </c>
    </row>
    <row r="15" spans="1:28" x14ac:dyDescent="0.2">
      <c r="A15" s="47" t="s">
        <v>204</v>
      </c>
      <c r="B15" s="91">
        <v>5769883</v>
      </c>
      <c r="C15" s="91">
        <v>5668436</v>
      </c>
      <c r="D15" s="92">
        <v>5810567</v>
      </c>
      <c r="E15" s="92">
        <f>SUM('[1]Trial Balances'!H30:H43)</f>
        <v>5951915.040000001</v>
      </c>
      <c r="F15" s="92">
        <v>6051358</v>
      </c>
      <c r="G15" s="108">
        <f>SUM('[1]Trial Balances'!M30:M43)</f>
        <v>6323396.2500000019</v>
      </c>
      <c r="H15" s="52">
        <f>'[1]Trial Balances'!R23+SUM('[1]Trial Balances'!R25:R37)</f>
        <v>6259089.0000000009</v>
      </c>
      <c r="I15" s="52">
        <f>'[1]Trial Balances'!AA24+SUM('[1]Trial Balances'!AA26:AA38)+'[1]Trial Balances'!AA69</f>
        <v>6208040.9700000007</v>
      </c>
      <c r="J15" s="52">
        <v>6354471</v>
      </c>
      <c r="K15" s="52">
        <f>SUM('[1]Trial Balances'!W23:W37)-'[1]Trial Balances'!W24</f>
        <v>7572536.040000001</v>
      </c>
      <c r="L15" s="52">
        <f>SUM('[1]Trial Balances'!AE23:AE37)-'[1]Trial Balances'!AE24</f>
        <v>7408196.040000001</v>
      </c>
      <c r="M15" s="52">
        <f>SUM('[1]Trial Balances'!AM24:AM35)</f>
        <v>6295140.3600000013</v>
      </c>
      <c r="N15" s="52">
        <f>J15-'[1]ICNC Cash Flows'!T10+83750</f>
        <v>6355721</v>
      </c>
      <c r="O15" s="52">
        <f>SUM('[1]Trial Balances'!AQ27:AQ38)-28832</f>
        <v>6292402.2100000009</v>
      </c>
      <c r="P15" s="52">
        <f>N15-'[1]ICNC Cash Flows'!V10+83750</f>
        <v>6356971</v>
      </c>
      <c r="Q15" s="52">
        <f>SUM('[1]Trial Balances'!AU23:AU34)</f>
        <v>6277295.2000000011</v>
      </c>
      <c r="R15" s="52">
        <f>P15+[1]Assumptions!B18-'[1]ICNC Cash Flows'!Y10-(83750*3)</f>
        <v>8033221</v>
      </c>
      <c r="S15" s="52">
        <f>SUM('[1]Trial Balances'!AY23:AY34)-(901-228)</f>
        <v>6314703.7100000009</v>
      </c>
      <c r="T15" s="52">
        <f>J15+[1]Assumptions!B18-'[1]ICNC Cash Flows'!AB10</f>
        <v>8034471</v>
      </c>
      <c r="U15" s="52">
        <f>SUM('[1]Trial Balances'!BC26:BC37)</f>
        <v>6411476.3200000003</v>
      </c>
      <c r="V15" s="52">
        <f>S15+300000-82500</f>
        <v>6532203.7100000009</v>
      </c>
      <c r="W15" s="52">
        <f>V15+700000-82500</f>
        <v>7149703.7100000009</v>
      </c>
      <c r="X15" s="52">
        <f>W15+700000-82500</f>
        <v>7767203.7100000009</v>
      </c>
      <c r="Y15" s="52">
        <f>X15+500000-82500</f>
        <v>8184703.7100000009</v>
      </c>
      <c r="Z15" s="93">
        <f>T15+[1]Assumptions!B39-'[1]ICNC Cash Flows'!AD10</f>
        <v>8049037.3636363633</v>
      </c>
      <c r="AA15" s="52">
        <f>Z15+[1]Assumptions!B58-'[1]ICNC Cash Flows'!AE10</f>
        <v>8058430.3181818174</v>
      </c>
      <c r="AB15" s="94">
        <f>AA15+[1]Assumptions!B77-'[1]ICNC Cash Flows'!AF10</f>
        <v>8062494.6613636352</v>
      </c>
    </row>
    <row r="16" spans="1:28" x14ac:dyDescent="0.2">
      <c r="A16" s="47"/>
      <c r="B16" s="55"/>
      <c r="C16" s="55"/>
      <c r="D16" s="55"/>
      <c r="E16" s="55"/>
      <c r="F16" s="55"/>
      <c r="G16" s="55"/>
      <c r="H16" s="55"/>
      <c r="I16" s="55"/>
      <c r="J16" s="55"/>
      <c r="K16" s="52"/>
      <c r="L16" s="52"/>
      <c r="M16" s="52"/>
      <c r="N16" s="52"/>
      <c r="O16" s="52"/>
      <c r="P16" s="52"/>
      <c r="Q16" s="52"/>
      <c r="R16" s="52"/>
      <c r="S16" s="52"/>
      <c r="T16" s="55"/>
      <c r="U16" s="55"/>
      <c r="V16" s="55"/>
      <c r="W16" s="55"/>
      <c r="X16" s="55"/>
      <c r="Y16" s="55"/>
      <c r="Z16" s="109"/>
      <c r="AA16" s="52"/>
      <c r="AB16" s="94"/>
    </row>
    <row r="17" spans="1:30" x14ac:dyDescent="0.2">
      <c r="A17" s="47" t="s">
        <v>192</v>
      </c>
      <c r="B17" s="92">
        <f>SUM(B8:B15)</f>
        <v>8185017</v>
      </c>
      <c r="C17" s="92">
        <f>SUM(C8:C15)</f>
        <v>6720581</v>
      </c>
      <c r="D17" s="92">
        <f t="shared" ref="D17:I17" si="2">SUM(D8:D15)</f>
        <v>7316269</v>
      </c>
      <c r="E17" s="92">
        <f t="shared" si="2"/>
        <v>7544613.3800000008</v>
      </c>
      <c r="F17" s="92">
        <f t="shared" si="2"/>
        <v>7585809</v>
      </c>
      <c r="G17" s="56">
        <f t="shared" si="2"/>
        <v>7803177.5200000014</v>
      </c>
      <c r="H17" s="56">
        <f t="shared" si="2"/>
        <v>7600443.5200000014</v>
      </c>
      <c r="I17" s="56">
        <f t="shared" si="2"/>
        <v>7295169.9300000006</v>
      </c>
      <c r="J17" s="56">
        <f>SUM(J8:J15)</f>
        <v>7548979</v>
      </c>
      <c r="K17" s="56">
        <f>SUM(K8:K15)</f>
        <v>8720044.4400000013</v>
      </c>
      <c r="L17" s="56">
        <f>SUM(L8:L15)</f>
        <v>8715779.4400000013</v>
      </c>
      <c r="M17" s="52">
        <f>SUM(M8:M15)</f>
        <v>7394645.3000000007</v>
      </c>
      <c r="N17" s="52">
        <f>N37</f>
        <v>7377461.75</v>
      </c>
      <c r="O17" s="52">
        <f>SUM(O8:O15)</f>
        <v>7187062.4500000011</v>
      </c>
      <c r="P17" s="52">
        <f t="shared" ref="P17:AB17" si="3">P37</f>
        <v>7089958.3185000001</v>
      </c>
      <c r="Q17" s="52">
        <f>Q37</f>
        <v>7088162.2200000035</v>
      </c>
      <c r="R17" s="52">
        <f t="shared" si="3"/>
        <v>8829327.6699999999</v>
      </c>
      <c r="S17" s="52">
        <f>S37</f>
        <v>7380228.2600000054</v>
      </c>
      <c r="T17" s="52">
        <f t="shared" si="3"/>
        <v>9010058.238499999</v>
      </c>
      <c r="U17" s="52">
        <f>SUM(U8:U15)</f>
        <v>7316097.1699999999</v>
      </c>
      <c r="V17" s="52">
        <f t="shared" ref="V17:Y17" si="4">V37</f>
        <v>7600089.900000005</v>
      </c>
      <c r="W17" s="52">
        <f t="shared" si="4"/>
        <v>8341943.7100000046</v>
      </c>
      <c r="X17" s="52">
        <f t="shared" si="4"/>
        <v>9136507.2400000058</v>
      </c>
      <c r="Y17" s="52">
        <f t="shared" si="4"/>
        <v>9760140.7700000051</v>
      </c>
      <c r="Z17" s="52">
        <f t="shared" si="3"/>
        <v>9598321.4619028978</v>
      </c>
      <c r="AA17" s="52">
        <f t="shared" si="3"/>
        <v>9737378.7683037724</v>
      </c>
      <c r="AB17" s="94">
        <f t="shared" si="3"/>
        <v>9923759.1046200469</v>
      </c>
    </row>
    <row r="18" spans="1:30" x14ac:dyDescent="0.2">
      <c r="A18" s="47"/>
      <c r="B18" s="95"/>
      <c r="C18" s="95"/>
      <c r="D18" s="96"/>
      <c r="E18" s="92"/>
      <c r="F18" s="92"/>
      <c r="G18" s="106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3"/>
      <c r="AA18" s="52"/>
      <c r="AB18" s="94"/>
    </row>
    <row r="19" spans="1:30" x14ac:dyDescent="0.2">
      <c r="A19" s="47" t="s">
        <v>205</v>
      </c>
      <c r="B19" s="95"/>
      <c r="C19" s="95"/>
      <c r="D19" s="95"/>
      <c r="E19" s="92"/>
      <c r="F19" s="92"/>
      <c r="G19" s="106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3"/>
      <c r="AA19" s="52"/>
      <c r="AB19" s="94"/>
    </row>
    <row r="20" spans="1:30" x14ac:dyDescent="0.2">
      <c r="A20" s="47"/>
      <c r="B20" s="95"/>
      <c r="C20" s="95"/>
      <c r="D20" s="95"/>
      <c r="E20" s="92"/>
      <c r="F20" s="92"/>
      <c r="G20" s="106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5"/>
      <c r="U20" s="55"/>
      <c r="V20" s="55"/>
      <c r="W20" s="55"/>
      <c r="X20" s="55"/>
      <c r="Y20" s="55"/>
      <c r="Z20" s="53"/>
      <c r="AA20" s="52"/>
      <c r="AB20" s="94"/>
    </row>
    <row r="21" spans="1:30" x14ac:dyDescent="0.2">
      <c r="A21" s="47" t="s">
        <v>177</v>
      </c>
      <c r="B21" s="91">
        <v>96148</v>
      </c>
      <c r="C21" s="91">
        <v>93229</v>
      </c>
      <c r="D21" s="92">
        <f>206219-117500</f>
        <v>88719</v>
      </c>
      <c r="E21" s="92">
        <f>-SUM('[1]Trial Balances'!H46:H47)</f>
        <v>222434.6</v>
      </c>
      <c r="F21" s="92">
        <v>164346</v>
      </c>
      <c r="G21" s="108">
        <f>-SUM('[1]Trial Balances'!M46:M47)</f>
        <v>413613.78</v>
      </c>
      <c r="H21" s="52">
        <f>-SUM('[1]Trial Balances'!R40:R41)</f>
        <v>242296.36</v>
      </c>
      <c r="I21" s="52">
        <f>-'[1]Trial Balances'!AA49-'[1]Trial Balances'!AA50</f>
        <v>136227.83000000002</v>
      </c>
      <c r="J21" s="52">
        <v>86148</v>
      </c>
      <c r="K21" s="52">
        <f>-SUM('[1]Trial Balances'!W40:W41)</f>
        <v>40100</v>
      </c>
      <c r="L21" s="52">
        <f>-SUM('[1]Trial Balances'!AE40:AE41)</f>
        <v>40100</v>
      </c>
      <c r="M21" s="52">
        <f>-SUM('[1]Trial Balances'!AM38:AM39)</f>
        <v>65659.42</v>
      </c>
      <c r="N21" s="52">
        <f>$T$21</f>
        <v>87396.925000000003</v>
      </c>
      <c r="O21" s="52">
        <f>-SUM('[1]Trial Balances'!AQ41:AQ42)</f>
        <v>64386.44</v>
      </c>
      <c r="P21" s="52">
        <f>$T$21</f>
        <v>87396.925000000003</v>
      </c>
      <c r="Q21" s="52">
        <f>-SUM('[1]Trial Balances'!AU37:AU38)</f>
        <v>70560.959999999992</v>
      </c>
      <c r="R21" s="52">
        <f>$T$21</f>
        <v>87396.925000000003</v>
      </c>
      <c r="S21" s="52">
        <f>-SUM('[1]Trial Balances'!AY37:AY38)</f>
        <v>130913.64000000001</v>
      </c>
      <c r="T21" s="52">
        <f>'[1]ICNC Activities'!AD24*[1]Assumptions!B13</f>
        <v>87396.925000000003</v>
      </c>
      <c r="U21" s="52">
        <f>-SUM('[1]Trial Balances'!BC40:BC41)</f>
        <v>139850.59</v>
      </c>
      <c r="V21" s="52">
        <v>90000</v>
      </c>
      <c r="W21" s="52">
        <v>90000</v>
      </c>
      <c r="X21" s="52">
        <v>90000</v>
      </c>
      <c r="Y21" s="52">
        <v>90000</v>
      </c>
      <c r="Z21" s="52">
        <f>'[1]ICNC Activities'!AF24*[1]Assumptions!B31</f>
        <v>93640.967787476446</v>
      </c>
      <c r="AA21" s="52">
        <f>'[1]ICNC Activities'!AG24*[1]Assumptions!B50</f>
        <v>96163.644350029208</v>
      </c>
      <c r="AB21" s="94">
        <f>'[1]ICNC Activities'!AH24*[1]Assumptions!B69</f>
        <v>98758.794629488664</v>
      </c>
    </row>
    <row r="22" spans="1:30" x14ac:dyDescent="0.2">
      <c r="A22" s="47" t="s">
        <v>180</v>
      </c>
      <c r="B22" s="91">
        <v>46799</v>
      </c>
      <c r="C22" s="91">
        <v>123000</v>
      </c>
      <c r="D22" s="92">
        <v>39187</v>
      </c>
      <c r="E22" s="92">
        <f>-SUM('[1]Trial Balances'!H50:H56)-SUM('[1]Trial Balances'!H58:H60)</f>
        <v>38587.26</v>
      </c>
      <c r="F22" s="92">
        <v>36934</v>
      </c>
      <c r="G22" s="108">
        <f>-'[1]Trial Balances'!M50-SUM('[1]Trial Balances'!M51:M55)-SUM('[1]Trial Balances'!M57:M59)</f>
        <v>38587.26</v>
      </c>
      <c r="H22" s="52">
        <f>-SUM('[1]Trial Balances'!R44:R50)-SUM('[1]Trial Balances'!R52:R54)</f>
        <v>38587.26</v>
      </c>
      <c r="I22" s="52">
        <f>-SUM('[1]Trial Balances'!AA53:AA59)-SUM('[1]Trial Balances'!AA61:AA63)</f>
        <v>38587.26</v>
      </c>
      <c r="J22" s="52">
        <v>45166</v>
      </c>
      <c r="K22" s="52">
        <f>-SUM('[1]Trial Balances'!W44:W50)-SUM('[1]Trial Balances'!W52:W54)</f>
        <v>38825.69</v>
      </c>
      <c r="L22" s="52">
        <f>-SUM('[1]Trial Balances'!AE44:AE50)-SUM('[1]Trial Balances'!AE52:AE54)</f>
        <v>38825.69</v>
      </c>
      <c r="M22" s="52">
        <f>-SUM('[1]Trial Balances'!AM41:AM46)-SUM('[1]Trial Balances'!AM48:AM50)</f>
        <v>45165.53</v>
      </c>
      <c r="N22" s="52">
        <f>$T$22</f>
        <v>37455.824999999997</v>
      </c>
      <c r="O22" s="52">
        <f>-SUM('[1]Trial Balances'!AQ45:AQ50)-SUM('[1]Trial Balances'!AQ52:AQ54)</f>
        <v>31459.54</v>
      </c>
      <c r="P22" s="52">
        <f>$T$22</f>
        <v>37455.824999999997</v>
      </c>
      <c r="Q22" s="52">
        <f>-SUM('[1]Trial Balances'!AU41:AU45)-SUM('[1]Trial Balances'!AU47:AU49)</f>
        <v>31459.55</v>
      </c>
      <c r="R22" s="52">
        <f>$T$22</f>
        <v>37455.824999999997</v>
      </c>
      <c r="S22" s="52">
        <f>-SUM('[1]Trial Balances'!AY41:AY45)-SUM('[1]Trial Balances'!AY47:AY49)</f>
        <v>31459.55</v>
      </c>
      <c r="T22" s="52">
        <f>'[1]ICNC Activities'!AD24*[1]Assumptions!B15</f>
        <v>37455.824999999997</v>
      </c>
      <c r="U22" s="52">
        <f>-SUM('[1]Trial Balances'!BC45:BC51)-SUM('[1]Trial Balances'!BC53:BC55)</f>
        <v>31459.66</v>
      </c>
      <c r="V22" s="52">
        <v>39000</v>
      </c>
      <c r="W22" s="52">
        <v>39000</v>
      </c>
      <c r="X22" s="52">
        <v>39000</v>
      </c>
      <c r="Y22" s="52">
        <v>39000</v>
      </c>
      <c r="Z22" s="52">
        <f>'[1]ICNC Activities'!AF24*[1]Assumptions!B32</f>
        <v>40131.843337489903</v>
      </c>
      <c r="AA22" s="52">
        <f>'[1]ICNC Activities'!AG24*[1]Assumptions!B51</f>
        <v>41212.990435726802</v>
      </c>
      <c r="AB22" s="94">
        <f>'[1]ICNC Activities'!AH24*[1]Assumptions!B70</f>
        <v>42325.197698352276</v>
      </c>
    </row>
    <row r="23" spans="1:30" x14ac:dyDescent="0.2">
      <c r="A23" s="47" t="s">
        <v>179</v>
      </c>
      <c r="B23" s="91">
        <v>291000</v>
      </c>
      <c r="C23" s="91">
        <v>360000</v>
      </c>
      <c r="D23" s="92">
        <v>363000</v>
      </c>
      <c r="E23" s="92">
        <f>-'[1]Trial Balances'!H57</f>
        <v>354331.55</v>
      </c>
      <c r="F23" s="92">
        <v>372000</v>
      </c>
      <c r="G23" s="106">
        <f>-'[1]Trial Balances'!M56</f>
        <v>242112.97</v>
      </c>
      <c r="H23" s="52">
        <f>-'[1]Trial Balances'!R51</f>
        <v>322856.40999999997</v>
      </c>
      <c r="I23" s="52">
        <f>-'[1]Trial Balances'!AA60</f>
        <v>239513.01</v>
      </c>
      <c r="J23" s="52">
        <v>375000</v>
      </c>
      <c r="K23" s="52">
        <f>-'[1]Trial Balances'!W51</f>
        <v>332000</v>
      </c>
      <c r="L23" s="52">
        <f>-'[1]Trial Balances'!AE51</f>
        <v>332000</v>
      </c>
      <c r="M23" s="52">
        <f>-'[1]Trial Balances'!AM47</f>
        <v>267412.68</v>
      </c>
      <c r="N23" s="52">
        <v>230338</v>
      </c>
      <c r="O23" s="52">
        <f>-'[1]Trial Balances'!AQ51</f>
        <v>352411.68</v>
      </c>
      <c r="P23" s="52">
        <f>$T$23</f>
        <v>349932.56849999999</v>
      </c>
      <c r="Q23" s="52">
        <f>-'[1]Trial Balances'!AU46</f>
        <v>239705.33</v>
      </c>
      <c r="R23" s="52">
        <v>230338</v>
      </c>
      <c r="S23" s="52">
        <f>-SUM('[1]Trial Balances'!AY46)</f>
        <v>324704.33</v>
      </c>
      <c r="T23" s="52">
        <f>'[1]ICNC Activities'!AD8*[1]Assumptions!B14</f>
        <v>349932.56849999999</v>
      </c>
      <c r="U23" s="52">
        <f>-'[1]Trial Balances'!BC52</f>
        <v>198338.43</v>
      </c>
      <c r="V23" s="52">
        <v>350000</v>
      </c>
      <c r="W23" s="52">
        <v>360000</v>
      </c>
      <c r="X23" s="52">
        <v>375000</v>
      </c>
      <c r="Y23" s="52">
        <v>398000</v>
      </c>
      <c r="Z23" s="52">
        <f>'[1]ICNC Activities'!AF8*[1]Assumptions!B34</f>
        <v>398652.04555500002</v>
      </c>
      <c r="AA23" s="52">
        <f>'[1]ICNC Activities'!AG8*[1]Assumptions!B53</f>
        <v>410611.60692165</v>
      </c>
      <c r="AB23" s="94">
        <f>'[1]ICNC Activities'!AH8*[1]Assumptions!B72</f>
        <v>422929.95512929955</v>
      </c>
    </row>
    <row r="24" spans="1:30" x14ac:dyDescent="0.2">
      <c r="A24" s="47" t="s">
        <v>206</v>
      </c>
      <c r="B24" s="91">
        <v>120971</v>
      </c>
      <c r="C24" s="91">
        <v>240302</v>
      </c>
      <c r="D24" s="92">
        <f>80631+117500</f>
        <v>198131</v>
      </c>
      <c r="E24" s="92">
        <f>-('[1]Trial Balances'!H25+'[1]Trial Balances'!H26+'[1]Trial Balances'!H44+'[1]Trial Balances'!H45+'[1]Trial Balances'!H62+'[1]Trial Balances'!H65+'[1]Trial Balances'!H64)</f>
        <v>495180.64</v>
      </c>
      <c r="F24" s="92">
        <v>487382</v>
      </c>
      <c r="G24" s="108">
        <f>-('[1]Trial Balances'!M25+'[1]Trial Balances'!M26+'[1]Trial Balances'!M44+'[1]Trial Balances'!M45+'[1]Trial Balances'!M61+'[1]Trial Balances'!M63+'[1]Trial Balances'!M64)</f>
        <v>651730.48</v>
      </c>
      <c r="H24" s="52">
        <f>-('[1]Trial Balances'!R19+'[1]Trial Balances'!R20+'[1]Trial Balances'!R38+'[1]Trial Balances'!R39+'[1]Trial Balances'!R56+'[1]Trial Balances'!R58+'[1]Trial Balances'!R59)</f>
        <v>597081.35999999987</v>
      </c>
      <c r="I24" s="52">
        <f>-'[1]Trial Balances'!AA21-'[1]Trial Balances'!AA20-'[1]Trial Balances'!AA40-'[1]Trial Balances'!AA39-'[1]Trial Balances'!AA65-'[1]Trial Balances'!AA67-'[1]Trial Balances'!AA68</f>
        <v>567595.30000000005</v>
      </c>
      <c r="J24" s="52">
        <v>570980</v>
      </c>
      <c r="K24" s="52">
        <f>-'[1]Trial Balances'!W19-'[1]Trial Balances'!W20-'[1]Trial Balances'!W38-'[1]Trial Balances'!W39-'[1]Trial Balances'!W58-'[1]Trial Balances'!W59-'[1]Trial Balances'!W56</f>
        <v>466182.79999999993</v>
      </c>
      <c r="L24" s="52">
        <f>-'[1]Trial Balances'!AE19-'[1]Trial Balances'!AE20-'[1]Trial Balances'!AE38-'[1]Trial Balances'!AE39-'[1]Trial Balances'!AE56-'[1]Trial Balances'!AE58-'[1]Trial Balances'!AE59</f>
        <v>466182.79999999993</v>
      </c>
      <c r="M24" s="52">
        <f>-'[1]Trial Balances'!AM54-'[1]Trial Balances'!AM55-'[1]Trial Balances'!AM37-'[1]Trial Balances'!AM36-'[1]Trial Balances'!AM52-'[1]Trial Balances'!AM15-'[1]Trial Balances'!AM16</f>
        <v>525408.75</v>
      </c>
      <c r="N24" s="52">
        <f>J24</f>
        <v>570980</v>
      </c>
      <c r="O24" s="52">
        <f>-SUM('[1]Trial Balances'!AQ58:AQ59)-'[1]Trial Balances'!AQ56-SUM('[1]Trial Balances'!AQ39:AQ40)-SUM('[1]Trial Balances'!AQ18:AQ19)</f>
        <v>174035.75000000003</v>
      </c>
      <c r="P24" s="52">
        <f>J24-[1]Assumptions!B16</f>
        <v>145980</v>
      </c>
      <c r="Q24" s="52">
        <f>-SUM('[1]Trial Balances'!AU15:AU16)-SUM('[1]Trial Balances'!AU35:AU36)-'[1]Trial Balances'!AU50-SUM('[1]Trial Balances'!AU52:AU53)</f>
        <v>53752.259999999951</v>
      </c>
      <c r="R24" s="52">
        <f>J24-[1]Assumptions!B16</f>
        <v>145980</v>
      </c>
      <c r="S24" s="52">
        <f>-'[1]Trial Balances'!AY53-'[1]Trial Balances'!AY52-'[1]Trial Balances'!AY50-'[1]Trial Balances'!AY36-'[1]Trial Balances'!AY35-'[1]Trial Balances'!AY16-'[1]Trial Balances'!AY15</f>
        <v>88882.880000000063</v>
      </c>
      <c r="T24" s="52">
        <f>IF(J24-[1]Assumptions!B16&lt;0.01,0,J24-[1]Assumptions!B16)</f>
        <v>145980</v>
      </c>
      <c r="U24" s="52">
        <f>-'[1]Trial Balances'!BC18-'[1]Trial Balances'!BC19-'[1]Trial Balances'!BC38-'[1]Trial Balances'!BC39-'[1]Trial Balances'!BC56-'[1]Trial Balances'!BC58-'[1]Trial Balances'!BC59</f>
        <v>80160.709999999963</v>
      </c>
      <c r="V24" s="52">
        <v>0</v>
      </c>
      <c r="W24" s="52">
        <v>0</v>
      </c>
      <c r="X24" s="52">
        <v>0</v>
      </c>
      <c r="Y24" s="52">
        <v>0</v>
      </c>
      <c r="Z24" s="52">
        <f>IF(T24-[1]Assumptions!B36&lt;0.01,0,T24-[1]Assumptions!B36)</f>
        <v>45980</v>
      </c>
      <c r="AA24" s="57">
        <f>IF(Z24-[1]Assumptions!B55&lt;0.01,0,Z24-[1]Assumptions!B55)</f>
        <v>2755.7300000000032</v>
      </c>
      <c r="AB24" s="94">
        <f>IF(AA24-[1]Assumptions!B74&lt;0.01,0,AA24-[1]Assumptions!B74)</f>
        <v>2755.7300000000032</v>
      </c>
      <c r="AD24" s="118"/>
    </row>
    <row r="25" spans="1:30" x14ac:dyDescent="0.2">
      <c r="A25" s="47" t="s">
        <v>207</v>
      </c>
      <c r="B25" s="91">
        <v>2326826</v>
      </c>
      <c r="C25" s="91">
        <v>691167</v>
      </c>
      <c r="D25" s="92">
        <v>424817</v>
      </c>
      <c r="E25" s="92">
        <f>-'[1]Trial Balances'!H61</f>
        <v>216907.89</v>
      </c>
      <c r="F25" s="92">
        <v>216908</v>
      </c>
      <c r="G25" s="106">
        <f>-'[1]Trial Balances'!M60</f>
        <v>181286.36</v>
      </c>
      <c r="H25" s="52">
        <f>-'[1]Trial Balances'!R55</f>
        <v>127543.16</v>
      </c>
      <c r="I25" s="52">
        <f>-'[1]Trial Balances'!AA64</f>
        <v>73247.63</v>
      </c>
      <c r="J25" s="52">
        <f>-'[1]Trial Balances'!AI53</f>
        <v>18393.240000000002</v>
      </c>
      <c r="K25" s="52">
        <f>-'[1]Trial Balances'!W55</f>
        <v>1558000</v>
      </c>
      <c r="L25" s="52">
        <f>-'[1]Trial Balances'!AE55</f>
        <v>1450000</v>
      </c>
      <c r="M25" s="52">
        <f>-'[1]Trial Balances'!AM51</f>
        <v>0.09</v>
      </c>
      <c r="N25" s="52">
        <v>0</v>
      </c>
      <c r="O25" s="52">
        <f>-'[1]Trial Balances'!AQ55</f>
        <v>0.09</v>
      </c>
      <c r="P25" s="52">
        <v>0</v>
      </c>
      <c r="Q25" s="52"/>
      <c r="R25" s="52">
        <f>[1]Assumptions!B19</f>
        <v>1809000</v>
      </c>
      <c r="S25" s="52"/>
      <c r="T25" s="52">
        <f>[1]Assumptions!B19</f>
        <v>1809000</v>
      </c>
      <c r="U25" s="52"/>
      <c r="V25" s="52">
        <v>300000</v>
      </c>
      <c r="W25" s="52">
        <f>V25-25000+700000</f>
        <v>975000</v>
      </c>
      <c r="X25" s="52">
        <f>W25+700000-25000</f>
        <v>1650000</v>
      </c>
      <c r="Y25" s="52">
        <f>X25+500000-25000</f>
        <v>2125000</v>
      </c>
      <c r="Z25" s="52">
        <f>'[1]Loan Schedule'!R14</f>
        <v>2144170.9051222601</v>
      </c>
      <c r="AA25" s="52">
        <f>'[1]Loan Schedule'!R18</f>
        <v>2033259.2839603142</v>
      </c>
      <c r="AB25" s="94">
        <f>'[1]Loan Schedule'!R22</f>
        <v>1917021.0441550664</v>
      </c>
    </row>
    <row r="26" spans="1:30" x14ac:dyDescent="0.2">
      <c r="A26" s="47" t="s">
        <v>208</v>
      </c>
      <c r="B26" s="91">
        <v>267959</v>
      </c>
      <c r="C26" s="91">
        <v>304557</v>
      </c>
      <c r="D26" s="92">
        <v>290655</v>
      </c>
      <c r="E26" s="92">
        <f>-'[1]Trial Balances'!H48-'[1]Trial Balances'!H49</f>
        <v>266447.03000000003</v>
      </c>
      <c r="F26" s="92">
        <v>266447</v>
      </c>
      <c r="G26" s="106">
        <f>-'[1]Trial Balances'!M48-'[1]Trial Balances'!M49</f>
        <v>266768.91000000003</v>
      </c>
      <c r="H26" s="52">
        <f>-'[1]Trial Balances'!R42-'[1]Trial Balances'!R43</f>
        <v>253405.94</v>
      </c>
      <c r="I26" s="52">
        <f>-'[1]Trial Balances'!AA51-'[1]Trial Balances'!AA52</f>
        <v>258629.78</v>
      </c>
      <c r="J26" s="52">
        <v>283870</v>
      </c>
      <c r="K26" s="52">
        <f>-'[1]Trial Balances'!W42-'[1]Trial Balances'!W43</f>
        <v>292500</v>
      </c>
      <c r="L26" s="52">
        <f>-'[1]Trial Balances'!AE42-'[1]Trial Balances'!AE43</f>
        <v>292500</v>
      </c>
      <c r="M26" s="52">
        <f>-'[1]Trial Balances'!AM40</f>
        <v>292000.03999999998</v>
      </c>
      <c r="N26" s="52">
        <f>J26</f>
        <v>283870</v>
      </c>
      <c r="O26" s="52">
        <f>-'[1]Trial Balances'!AQ43-28832</f>
        <v>291260.01</v>
      </c>
      <c r="P26" s="52">
        <f>J26</f>
        <v>283870</v>
      </c>
      <c r="Q26" s="52">
        <f>-'[1]Trial Balances'!AU39</f>
        <v>293766.40999999997</v>
      </c>
      <c r="R26" s="52">
        <f>$T$26</f>
        <v>273562.92</v>
      </c>
      <c r="S26" s="52">
        <f>-SUM('[1]Trial Balances'!AY39)</f>
        <v>328658.82</v>
      </c>
      <c r="T26" s="52">
        <f>'[1]ICNC Activities'!AD8*[1]Assumptions!B22</f>
        <v>273562.92</v>
      </c>
      <c r="U26" s="52">
        <f>-'[1]Trial Balances'!BC42-'[1]Trial Balances'!BC43</f>
        <v>316433.92000000004</v>
      </c>
      <c r="V26" s="52">
        <v>292000</v>
      </c>
      <c r="W26" s="52">
        <v>292000</v>
      </c>
      <c r="X26" s="52">
        <v>292000</v>
      </c>
      <c r="Y26" s="52">
        <v>292000</v>
      </c>
      <c r="Z26" s="52">
        <f>'[1]ICNC Activities'!AF8*[1]Assumptions!B38</f>
        <v>311649.8076</v>
      </c>
      <c r="AA26" s="52">
        <f>'[1]ICNC Activities'!AG8*[1]Assumptions!B57</f>
        <v>320999.301828</v>
      </c>
      <c r="AB26" s="94">
        <f>'[1]ICNC Activities'!AH8*[1]Assumptions!B76</f>
        <v>330629.28088284004</v>
      </c>
    </row>
    <row r="27" spans="1:30" x14ac:dyDescent="0.2">
      <c r="A27" s="47"/>
      <c r="B27" s="110"/>
      <c r="C27" s="110"/>
      <c r="D27" s="110"/>
      <c r="E27" s="110"/>
      <c r="F27" s="55"/>
      <c r="G27" s="106"/>
      <c r="H27" s="52"/>
      <c r="I27" s="52"/>
      <c r="J27" s="55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3"/>
      <c r="AA27" s="52"/>
      <c r="AB27" s="94"/>
    </row>
    <row r="28" spans="1:30" x14ac:dyDescent="0.2">
      <c r="A28" s="47" t="s">
        <v>193</v>
      </c>
      <c r="B28" s="91">
        <f t="shared" ref="B28:S28" si="5">SUM(B21:B26)</f>
        <v>3149703</v>
      </c>
      <c r="C28" s="91">
        <f t="shared" si="5"/>
        <v>1812255</v>
      </c>
      <c r="D28" s="92">
        <f t="shared" si="5"/>
        <v>1404509</v>
      </c>
      <c r="E28" s="92">
        <f t="shared" si="5"/>
        <v>1593888.97</v>
      </c>
      <c r="F28" s="92">
        <f>SUM(F21:F26)</f>
        <v>1544017</v>
      </c>
      <c r="G28" s="106">
        <f t="shared" si="5"/>
        <v>1794099.7600000002</v>
      </c>
      <c r="H28" s="52">
        <f t="shared" si="5"/>
        <v>1581770.4899999998</v>
      </c>
      <c r="I28" s="52">
        <f t="shared" si="5"/>
        <v>1313800.8100000003</v>
      </c>
      <c r="J28" s="52">
        <f>SUM(J21:J26)</f>
        <v>1379557.24</v>
      </c>
      <c r="K28" s="52">
        <f t="shared" si="5"/>
        <v>2727608.49</v>
      </c>
      <c r="L28" s="52">
        <f t="shared" si="5"/>
        <v>2619608.4900000002</v>
      </c>
      <c r="M28" s="52">
        <f t="shared" si="5"/>
        <v>1195646.51</v>
      </c>
      <c r="N28" s="52">
        <f t="shared" si="5"/>
        <v>1210040.75</v>
      </c>
      <c r="O28" s="52">
        <f t="shared" si="5"/>
        <v>913553.51</v>
      </c>
      <c r="P28" s="52">
        <f t="shared" si="5"/>
        <v>904635.31850000005</v>
      </c>
      <c r="Q28" s="52">
        <f t="shared" si="5"/>
        <v>689244.50999999989</v>
      </c>
      <c r="R28" s="52">
        <f t="shared" si="5"/>
        <v>2583733.67</v>
      </c>
      <c r="S28" s="52">
        <f t="shared" si="5"/>
        <v>904619.2200000002</v>
      </c>
      <c r="T28" s="52">
        <f>SUM(T21:T26)</f>
        <v>2703328.2385</v>
      </c>
      <c r="U28" s="52">
        <f>SUM(U21:U26)</f>
        <v>766243.31</v>
      </c>
      <c r="V28" s="52">
        <f t="shared" ref="V28:Y28" si="6">SUM(V21:V26)</f>
        <v>1071000</v>
      </c>
      <c r="W28" s="52">
        <f t="shared" si="6"/>
        <v>1756000</v>
      </c>
      <c r="X28" s="52">
        <f t="shared" si="6"/>
        <v>2446000</v>
      </c>
      <c r="Y28" s="52">
        <f t="shared" si="6"/>
        <v>2944000</v>
      </c>
      <c r="Z28" s="52">
        <f>SUM(Z21:Z26)</f>
        <v>3034225.5694022262</v>
      </c>
      <c r="AA28" s="52">
        <f>SUM(AA21:AA26)</f>
        <v>2905002.5574957198</v>
      </c>
      <c r="AB28" s="94">
        <f>SUM(AB21:AB26)</f>
        <v>2814420.0024950467</v>
      </c>
    </row>
    <row r="29" spans="1:30" x14ac:dyDescent="0.2">
      <c r="A29" s="47"/>
      <c r="B29" s="91"/>
      <c r="C29" s="91"/>
      <c r="D29" s="92"/>
      <c r="E29" s="92"/>
      <c r="F29" s="92"/>
      <c r="G29" s="10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3"/>
      <c r="AA29" s="52"/>
      <c r="AB29" s="94"/>
    </row>
    <row r="30" spans="1:30" x14ac:dyDescent="0.2">
      <c r="A30" s="47" t="s">
        <v>209</v>
      </c>
      <c r="B30" s="95"/>
      <c r="C30" s="95"/>
      <c r="D30" s="92"/>
      <c r="E30" s="92"/>
      <c r="F30" s="92"/>
      <c r="G30" s="106"/>
      <c r="H30" s="52"/>
      <c r="I30" s="52"/>
      <c r="J30" s="52"/>
      <c r="K30" s="52"/>
      <c r="L30" s="52"/>
      <c r="M30" s="52"/>
      <c r="N30" s="52"/>
      <c r="O30" s="75"/>
      <c r="P30" s="57"/>
      <c r="Q30" s="57"/>
      <c r="R30" s="52"/>
      <c r="S30" s="52"/>
      <c r="T30" s="52"/>
      <c r="U30" s="52"/>
      <c r="V30" s="52"/>
      <c r="W30" s="52"/>
      <c r="X30" s="52"/>
      <c r="Y30" s="52"/>
      <c r="Z30" s="53"/>
      <c r="AA30" s="52"/>
      <c r="AB30" s="94"/>
    </row>
    <row r="31" spans="1:30" x14ac:dyDescent="0.2">
      <c r="A31" s="47"/>
      <c r="B31" s="95"/>
      <c r="C31" s="95"/>
      <c r="D31" s="92"/>
      <c r="E31" s="92"/>
      <c r="F31" s="92"/>
      <c r="G31" s="10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3"/>
      <c r="AA31" s="52"/>
      <c r="AB31" s="94"/>
    </row>
    <row r="32" spans="1:30" x14ac:dyDescent="0.2">
      <c r="A32" s="47" t="s">
        <v>210</v>
      </c>
      <c r="B32" s="91">
        <v>4991252</v>
      </c>
      <c r="C32" s="91">
        <v>5409843</v>
      </c>
      <c r="D32" s="92">
        <v>5866750</v>
      </c>
      <c r="E32" s="91">
        <f>-SUM('[1]Trial Balances'!H68:H70)-SUM('[1]Trial Balances'!H73:H210)</f>
        <v>5905731.9500000002</v>
      </c>
      <c r="F32" s="91">
        <v>5996646</v>
      </c>
      <c r="G32" s="108">
        <f>-SUM('[1]Trial Balances'!M67:M69)-SUM('[1]Trial Balances'!M73:M176)</f>
        <v>5926806.5999999996</v>
      </c>
      <c r="H32" s="52">
        <f>-SUM('[1]Trial Balances'!R62:R64)-SUM('[1]Trial Balances'!R68:R178)</f>
        <v>5973680.5699999984</v>
      </c>
      <c r="I32" s="52">
        <f>-SUM('[1]Trial Balances'!AA75:AA76)-SUM('[1]Trial Balances'!AA78:AA193)</f>
        <v>5980948.5399999991</v>
      </c>
      <c r="J32" s="52">
        <v>6169422</v>
      </c>
      <c r="K32" s="52">
        <f>-SUM('[1]Trial Balances'!W62:W64)-SUM('[1]Trial Balances'!W67:W70)</f>
        <v>5992435.9500000002</v>
      </c>
      <c r="L32" s="52">
        <f>-SUM('[1]Trial Balances'!AE62:AE64)-SUM('[1]Trial Balances'!AE67:AE70)</f>
        <v>6096170.9500000002</v>
      </c>
      <c r="M32" s="52">
        <f>-SUM('[1]Trial Balances'!AM57:AM124)</f>
        <v>6198998.79</v>
      </c>
      <c r="N32" s="52">
        <f>J32+'[1]ICNC Activities'!V26+J33</f>
        <v>6167421</v>
      </c>
      <c r="O32" s="52">
        <f>-SUM('[1]Trial Balances'!AQ61:AQ128)</f>
        <v>6273508.9400000004</v>
      </c>
      <c r="P32" s="52">
        <f>N32+'[1]ICNC Activities'!X26</f>
        <v>6185323</v>
      </c>
      <c r="Q32" s="52">
        <f>-SUM('[1]Trial Balances'!AU55:AU169)</f>
        <v>6398917.7100000037</v>
      </c>
      <c r="R32" s="52">
        <f>P32+'[1]ICNC Activities'!AA26</f>
        <v>6245594</v>
      </c>
      <c r="S32" s="52">
        <f>-SUM('[1]Trial Balances'!AY55:AY175)</f>
        <v>6475609.0400000047</v>
      </c>
      <c r="T32" s="52">
        <f>J32+'[1]ICNC Activities'!AD26+J33</f>
        <v>6306730</v>
      </c>
      <c r="U32" s="52">
        <f>-SUM('[1]Trial Balances'!BC61:BC413)</f>
        <v>6549853.8599999994</v>
      </c>
      <c r="V32" s="52">
        <f>S32+'[1]ICNC Interim Activities'!AJ26</f>
        <v>6529089.900000005</v>
      </c>
      <c r="W32" s="52">
        <f>V32+'[1]ICNC Interim Activities'!AK26</f>
        <v>6585943.7100000046</v>
      </c>
      <c r="X32" s="52">
        <f>W32+'[1]ICNC Interim Activities'!AL26</f>
        <v>6690507.2400000049</v>
      </c>
      <c r="Y32" s="52">
        <f>X32+'[1]ICNC Interim Activities'!AM26</f>
        <v>6816140.7700000051</v>
      </c>
      <c r="Z32" s="93">
        <f>T32+'[1]ICNC Activities'!AF26</f>
        <v>6564095.8925006725</v>
      </c>
      <c r="AA32" s="52">
        <f>Z32+'[1]ICNC Activities'!AG26</f>
        <v>6832376.2108080527</v>
      </c>
      <c r="AB32" s="94">
        <f>AA32+'[1]ICNC Activities'!AH26</f>
        <v>7109339.1021250002</v>
      </c>
    </row>
    <row r="33" spans="1:28" x14ac:dyDescent="0.2">
      <c r="A33" s="47" t="s">
        <v>211</v>
      </c>
      <c r="B33" s="91">
        <v>44062</v>
      </c>
      <c r="C33" s="91">
        <v>44483</v>
      </c>
      <c r="D33" s="92">
        <v>45010</v>
      </c>
      <c r="E33" s="91">
        <f>-'[1]Trial Balances'!H71-'[1]Trial Balances'!H72</f>
        <v>44992.46</v>
      </c>
      <c r="F33" s="91">
        <v>45146</v>
      </c>
      <c r="G33" s="106">
        <f>-'[1]Trial Balances'!M70-'[1]Trial Balances'!M71</f>
        <v>44992.46</v>
      </c>
      <c r="H33" s="52">
        <f>-'[1]Trial Balances'!R65-'[1]Trial Balances'!R66</f>
        <v>44992.46</v>
      </c>
      <c r="I33" s="52">
        <f>-'[1]Trial Balances'!AA77</f>
        <v>420.58</v>
      </c>
      <c r="J33" s="52">
        <v>0</v>
      </c>
      <c r="K33" s="52">
        <f>-'[1]Trial Balances'!W65-'[1]Trial Balances'!W66</f>
        <v>0</v>
      </c>
      <c r="L33" s="52">
        <f>-'[1]Trial Balances'!AE65-'[1]Trial Balances'!AE66</f>
        <v>0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3"/>
      <c r="AA33" s="52"/>
      <c r="AB33" s="94"/>
    </row>
    <row r="34" spans="1:28" x14ac:dyDescent="0.2">
      <c r="A34" s="47"/>
      <c r="B34" s="91"/>
      <c r="C34" s="91"/>
      <c r="D34" s="92"/>
      <c r="E34" s="91"/>
      <c r="F34" s="91"/>
      <c r="G34" s="106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3"/>
      <c r="AA34" s="52"/>
      <c r="AB34" s="94"/>
    </row>
    <row r="35" spans="1:28" x14ac:dyDescent="0.2">
      <c r="A35" s="47" t="s">
        <v>212</v>
      </c>
      <c r="B35" s="91">
        <f>SUM(B32:B33)</f>
        <v>5035314</v>
      </c>
      <c r="C35" s="91">
        <f>SUM(C32:C33)</f>
        <v>5454326</v>
      </c>
      <c r="D35" s="92">
        <f>SUM(D32:D33)</f>
        <v>5911760</v>
      </c>
      <c r="E35" s="92">
        <f>E33+E32</f>
        <v>5950724.4100000001</v>
      </c>
      <c r="F35" s="92">
        <f>SUM(F32:F33)</f>
        <v>6041792</v>
      </c>
      <c r="G35" s="52">
        <f>G33+G32</f>
        <v>5971799.0599999996</v>
      </c>
      <c r="H35" s="52">
        <f>H33+H32</f>
        <v>6018673.0299999984</v>
      </c>
      <c r="I35" s="52">
        <f>I33+I32</f>
        <v>5981369.1199999992</v>
      </c>
      <c r="J35" s="52">
        <f>SUM(J32:J33)</f>
        <v>6169422</v>
      </c>
      <c r="K35" s="52">
        <f t="shared" ref="K35:S35" si="7">K33+K32</f>
        <v>5992435.9500000002</v>
      </c>
      <c r="L35" s="52">
        <f t="shared" si="7"/>
        <v>6096170.9500000002</v>
      </c>
      <c r="M35" s="52">
        <f t="shared" si="7"/>
        <v>6198998.79</v>
      </c>
      <c r="N35" s="52">
        <f t="shared" si="7"/>
        <v>6167421</v>
      </c>
      <c r="O35" s="52">
        <f t="shared" si="7"/>
        <v>6273508.9400000004</v>
      </c>
      <c r="P35" s="52">
        <f t="shared" si="7"/>
        <v>6185323</v>
      </c>
      <c r="Q35" s="52">
        <f t="shared" si="7"/>
        <v>6398917.7100000037</v>
      </c>
      <c r="R35" s="52">
        <f t="shared" si="7"/>
        <v>6245594</v>
      </c>
      <c r="S35" s="52">
        <f t="shared" si="7"/>
        <v>6475609.0400000047</v>
      </c>
      <c r="T35" s="52">
        <f>SUM(T32:T33)</f>
        <v>6306730</v>
      </c>
      <c r="U35" s="52">
        <f>SUM(U32:U33)</f>
        <v>6549853.8599999994</v>
      </c>
      <c r="V35" s="52">
        <f t="shared" ref="V35:Y35" si="8">SUM(V32:V33)</f>
        <v>6529089.900000005</v>
      </c>
      <c r="W35" s="52">
        <f t="shared" si="8"/>
        <v>6585943.7100000046</v>
      </c>
      <c r="X35" s="52">
        <f t="shared" si="8"/>
        <v>6690507.2400000049</v>
      </c>
      <c r="Y35" s="52">
        <f t="shared" si="8"/>
        <v>6816140.7700000051</v>
      </c>
      <c r="Z35" s="93">
        <f>SUM(Z32:Z33)</f>
        <v>6564095.8925006725</v>
      </c>
      <c r="AA35" s="52">
        <f>SUM(AA32:AA33)</f>
        <v>6832376.2108080527</v>
      </c>
      <c r="AB35" s="94">
        <f>SUM(AB32:AB33)</f>
        <v>7109339.1021250002</v>
      </c>
    </row>
    <row r="36" spans="1:28" x14ac:dyDescent="0.2">
      <c r="A36" s="47"/>
      <c r="B36" s="91"/>
      <c r="C36" s="91"/>
      <c r="D36" s="92"/>
      <c r="E36" s="92"/>
      <c r="F36" s="9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3"/>
      <c r="AA36" s="52"/>
      <c r="AB36" s="94"/>
    </row>
    <row r="37" spans="1:28" x14ac:dyDescent="0.2">
      <c r="A37" s="47" t="s">
        <v>194</v>
      </c>
      <c r="B37" s="91">
        <f>SUM(B28+B35)</f>
        <v>8185017</v>
      </c>
      <c r="C37" s="91">
        <f>SUM(C28+C35)</f>
        <v>7266581</v>
      </c>
      <c r="D37" s="92">
        <f>(D28+D35)</f>
        <v>7316269</v>
      </c>
      <c r="E37" s="92">
        <f>(E28+E35)</f>
        <v>7544613.3799999999</v>
      </c>
      <c r="F37" s="92">
        <f>F35+F28</f>
        <v>7585809</v>
      </c>
      <c r="G37" s="52">
        <f>(G28+G35)</f>
        <v>7765898.8200000003</v>
      </c>
      <c r="H37" s="52">
        <f>(H28+H35)</f>
        <v>7600443.5199999977</v>
      </c>
      <c r="I37" s="52">
        <f>(I28+I35)</f>
        <v>7295169.9299999997</v>
      </c>
      <c r="J37" s="52">
        <f>J35+J28</f>
        <v>7548979.2400000002</v>
      </c>
      <c r="K37" s="52">
        <f t="shared" ref="K37:S37" si="9">(K28+K35)</f>
        <v>8720044.4400000013</v>
      </c>
      <c r="L37" s="52">
        <f t="shared" si="9"/>
        <v>8715779.4400000013</v>
      </c>
      <c r="M37" s="52">
        <f t="shared" si="9"/>
        <v>7394645.2999999998</v>
      </c>
      <c r="N37" s="52">
        <f t="shared" si="9"/>
        <v>7377461.75</v>
      </c>
      <c r="O37" s="52">
        <f t="shared" si="9"/>
        <v>7187062.4500000002</v>
      </c>
      <c r="P37" s="52">
        <f t="shared" si="9"/>
        <v>7089958.3185000001</v>
      </c>
      <c r="Q37" s="52">
        <f t="shared" si="9"/>
        <v>7088162.2200000035</v>
      </c>
      <c r="R37" s="52">
        <f t="shared" si="9"/>
        <v>8829327.6699999999</v>
      </c>
      <c r="S37" s="52">
        <f t="shared" si="9"/>
        <v>7380228.2600000054</v>
      </c>
      <c r="T37" s="52">
        <f t="shared" ref="T37:AB37" si="10">T35+T28</f>
        <v>9010058.238499999</v>
      </c>
      <c r="U37" s="52">
        <f t="shared" si="10"/>
        <v>7316097.1699999999</v>
      </c>
      <c r="V37" s="52">
        <f t="shared" si="10"/>
        <v>7600089.900000005</v>
      </c>
      <c r="W37" s="52">
        <f t="shared" si="10"/>
        <v>8341943.7100000046</v>
      </c>
      <c r="X37" s="52">
        <f t="shared" si="10"/>
        <v>9136507.2400000058</v>
      </c>
      <c r="Y37" s="52">
        <f t="shared" si="10"/>
        <v>9760140.7700000051</v>
      </c>
      <c r="Z37" s="93">
        <f t="shared" si="10"/>
        <v>9598321.4619028978</v>
      </c>
      <c r="AA37" s="52">
        <f t="shared" si="10"/>
        <v>9737378.7683037724</v>
      </c>
      <c r="AB37" s="94">
        <f t="shared" si="10"/>
        <v>9923759.1046200469</v>
      </c>
    </row>
    <row r="38" spans="1:28" x14ac:dyDescent="0.2">
      <c r="A38" s="47"/>
      <c r="B38" s="91"/>
      <c r="C38" s="91"/>
      <c r="D38" s="92"/>
      <c r="E38" s="92"/>
      <c r="F38" s="9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93"/>
      <c r="AA38" s="52"/>
      <c r="AB38" s="94"/>
    </row>
    <row r="39" spans="1:28" hidden="1" x14ac:dyDescent="0.2">
      <c r="A39" s="97" t="s">
        <v>253</v>
      </c>
      <c r="B39" s="53"/>
      <c r="C39" s="98">
        <f t="shared" ref="C39:J39" si="11">(C8+C9+C11+C12+C13)/(C21+C22+C23)</f>
        <v>1.607546652459352</v>
      </c>
      <c r="D39" s="98">
        <f t="shared" si="11"/>
        <v>2.8108436238302241</v>
      </c>
      <c r="E39" s="98">
        <f t="shared" si="11"/>
        <v>2.5882660502360744</v>
      </c>
      <c r="F39" s="98">
        <f t="shared" si="11"/>
        <v>2.6327361847613733</v>
      </c>
      <c r="G39" s="98">
        <f t="shared" si="11"/>
        <v>2.1312853387475212</v>
      </c>
      <c r="H39" s="98">
        <f t="shared" si="11"/>
        <v>2.2217418977502619</v>
      </c>
      <c r="I39" s="98">
        <f t="shared" si="11"/>
        <v>2.6238359406470377</v>
      </c>
      <c r="J39" s="98">
        <f t="shared" si="11"/>
        <v>2.3592237228281263</v>
      </c>
      <c r="K39" s="53"/>
      <c r="L39" s="53"/>
      <c r="M39" s="53"/>
      <c r="N39" s="98">
        <f t="shared" ref="N39:AB39" si="12">(N8+N9+N11+N12+N13)/(N21+N22+N23)</f>
        <v>2.8765972931445991</v>
      </c>
      <c r="O39" s="98"/>
      <c r="P39" s="98">
        <f t="shared" si="12"/>
        <v>1.5438289473982547</v>
      </c>
      <c r="Q39" s="98"/>
      <c r="R39" s="98">
        <f t="shared" si="12"/>
        <v>2.241349669156643</v>
      </c>
      <c r="S39" s="98"/>
      <c r="T39" s="98">
        <f t="shared" si="12"/>
        <v>2.0547965585418546</v>
      </c>
      <c r="U39" s="98"/>
      <c r="V39" s="98"/>
      <c r="W39" s="98"/>
      <c r="X39" s="98"/>
      <c r="Y39" s="98"/>
      <c r="Z39" s="98">
        <f t="shared" si="12"/>
        <v>2.9098643288883648</v>
      </c>
      <c r="AA39" s="98">
        <f t="shared" si="12"/>
        <v>3.0638402840373646</v>
      </c>
      <c r="AB39" s="111">
        <f t="shared" si="12"/>
        <v>3.2025173338353849</v>
      </c>
    </row>
    <row r="40" spans="1:28" hidden="1" x14ac:dyDescent="0.2">
      <c r="A40" s="97" t="s">
        <v>254</v>
      </c>
      <c r="B40" s="53"/>
      <c r="C40" s="91">
        <f t="shared" ref="C40:L40" si="13">(C8+C9+C11+C12+C13)-(C21+C22+C23)</f>
        <v>350086</v>
      </c>
      <c r="D40" s="91">
        <f t="shared" si="13"/>
        <v>888954</v>
      </c>
      <c r="E40" s="91">
        <f t="shared" si="13"/>
        <v>977344.92999999982</v>
      </c>
      <c r="F40" s="91">
        <f t="shared" si="13"/>
        <v>936015</v>
      </c>
      <c r="G40" s="91">
        <f t="shared" si="13"/>
        <v>785467.26</v>
      </c>
      <c r="H40" s="91">
        <f t="shared" si="13"/>
        <v>737614.49</v>
      </c>
      <c r="I40" s="91">
        <f t="shared" si="13"/>
        <v>672800.85999999987</v>
      </c>
      <c r="J40" s="91">
        <f t="shared" si="13"/>
        <v>688194</v>
      </c>
      <c r="K40" s="91">
        <f t="shared" si="13"/>
        <v>736582.7100000002</v>
      </c>
      <c r="L40" s="91">
        <f t="shared" si="13"/>
        <v>896657.71</v>
      </c>
      <c r="M40" s="91"/>
      <c r="N40" s="91">
        <f t="shared" ref="N40:AB40" si="14">(N8+N9+N11+N12+N13)-(N21+N22+N23)</f>
        <v>666550</v>
      </c>
      <c r="O40" s="91"/>
      <c r="P40" s="91">
        <f t="shared" si="14"/>
        <v>258202.00000000006</v>
      </c>
      <c r="Q40" s="91"/>
      <c r="R40" s="91">
        <f t="shared" si="14"/>
        <v>440915.91999999993</v>
      </c>
      <c r="S40" s="91"/>
      <c r="T40" s="91">
        <f t="shared" si="14"/>
        <v>500801.91999999824</v>
      </c>
      <c r="U40" s="91"/>
      <c r="V40" s="91"/>
      <c r="W40" s="91"/>
      <c r="X40" s="91"/>
      <c r="Y40" s="91"/>
      <c r="Z40" s="91">
        <f t="shared" si="14"/>
        <v>1016859.2415865678</v>
      </c>
      <c r="AA40" s="91">
        <f t="shared" si="14"/>
        <v>1130960.2084145488</v>
      </c>
      <c r="AB40" s="112">
        <f t="shared" si="14"/>
        <v>1242250.4957992721</v>
      </c>
    </row>
    <row r="41" spans="1:28" hidden="1" x14ac:dyDescent="0.2">
      <c r="A41" s="97" t="s">
        <v>255</v>
      </c>
      <c r="B41" s="53"/>
      <c r="C41" s="98">
        <f t="shared" ref="C41:L41" si="15">C28/C35</f>
        <v>0.33226011793207816</v>
      </c>
      <c r="D41" s="98">
        <f t="shared" si="15"/>
        <v>0.23757882593339377</v>
      </c>
      <c r="E41" s="98">
        <f t="shared" si="15"/>
        <v>0.26784788879174459</v>
      </c>
      <c r="F41" s="98">
        <f t="shared" si="15"/>
        <v>0.25555613301484065</v>
      </c>
      <c r="G41" s="98">
        <f t="shared" si="15"/>
        <v>0.30042868857010746</v>
      </c>
      <c r="H41" s="98">
        <f t="shared" si="15"/>
        <v>0.26281050359700303</v>
      </c>
      <c r="I41" s="98">
        <f t="shared" si="15"/>
        <v>0.21964884354102535</v>
      </c>
      <c r="J41" s="98">
        <f t="shared" si="15"/>
        <v>0.22361207257341126</v>
      </c>
      <c r="K41" s="98">
        <f t="shared" si="15"/>
        <v>0.4551752430495315</v>
      </c>
      <c r="L41" s="98">
        <f t="shared" si="15"/>
        <v>0.42971375171163795</v>
      </c>
      <c r="M41" s="98"/>
      <c r="N41" s="98">
        <f t="shared" ref="N41:AB41" si="16">N28/N35</f>
        <v>0.196198824435692</v>
      </c>
      <c r="O41" s="98"/>
      <c r="P41" s="98">
        <f t="shared" si="16"/>
        <v>0.14625514601258496</v>
      </c>
      <c r="Q41" s="98"/>
      <c r="R41" s="98">
        <f t="shared" si="16"/>
        <v>0.413689021412535</v>
      </c>
      <c r="S41" s="98"/>
      <c r="T41" s="98">
        <f t="shared" si="16"/>
        <v>0.42864182206944013</v>
      </c>
      <c r="U41" s="98"/>
      <c r="V41" s="98"/>
      <c r="W41" s="98"/>
      <c r="X41" s="98"/>
      <c r="Y41" s="98"/>
      <c r="Z41" s="98">
        <f t="shared" si="16"/>
        <v>0.46224577140452178</v>
      </c>
      <c r="AA41" s="98">
        <f t="shared" si="16"/>
        <v>0.425181879314598</v>
      </c>
      <c r="AB41" s="111">
        <f t="shared" si="16"/>
        <v>0.39587646081670363</v>
      </c>
    </row>
    <row r="42" spans="1:28" hidden="1" x14ac:dyDescent="0.2">
      <c r="A42" s="99" t="s">
        <v>256</v>
      </c>
      <c r="B42" s="100"/>
      <c r="C42" s="113">
        <f t="shared" ref="C42:L42" si="17">C25/C37</f>
        <v>9.5115846090479142E-2</v>
      </c>
      <c r="D42" s="113">
        <f t="shared" si="17"/>
        <v>5.8064704837944042E-2</v>
      </c>
      <c r="E42" s="113">
        <f t="shared" si="17"/>
        <v>2.8750033842025714E-2</v>
      </c>
      <c r="F42" s="113">
        <f t="shared" si="17"/>
        <v>2.8593917932813757E-2</v>
      </c>
      <c r="G42" s="113">
        <f t="shared" si="17"/>
        <v>2.3343899296385629E-2</v>
      </c>
      <c r="H42" s="113">
        <f t="shared" si="17"/>
        <v>1.6781015432109945E-2</v>
      </c>
      <c r="I42" s="113">
        <f t="shared" si="17"/>
        <v>1.0040565292219314E-2</v>
      </c>
      <c r="J42" s="113">
        <f t="shared" si="17"/>
        <v>2.4365201460005608E-3</v>
      </c>
      <c r="K42" s="113">
        <f t="shared" si="17"/>
        <v>0.17866881421535505</v>
      </c>
      <c r="L42" s="113">
        <f t="shared" si="17"/>
        <v>0.1663649258201054</v>
      </c>
      <c r="M42" s="113"/>
      <c r="N42" s="113">
        <f t="shared" ref="N42:AB42" si="18">N25/N37</f>
        <v>0</v>
      </c>
      <c r="O42" s="113"/>
      <c r="P42" s="113">
        <f t="shared" si="18"/>
        <v>0</v>
      </c>
      <c r="Q42" s="113"/>
      <c r="R42" s="113">
        <f t="shared" si="18"/>
        <v>0.2048853624661095</v>
      </c>
      <c r="S42" s="113"/>
      <c r="T42" s="113">
        <f t="shared" si="18"/>
        <v>0.20077561677350086</v>
      </c>
      <c r="U42" s="113"/>
      <c r="V42" s="113"/>
      <c r="W42" s="113"/>
      <c r="X42" s="113"/>
      <c r="Y42" s="113"/>
      <c r="Z42" s="113">
        <f t="shared" si="18"/>
        <v>0.22339019521619266</v>
      </c>
      <c r="AA42" s="113">
        <f t="shared" si="18"/>
        <v>0.20880971484633981</v>
      </c>
      <c r="AB42" s="114">
        <f t="shared" si="18"/>
        <v>0.19317488705087463</v>
      </c>
    </row>
    <row r="43" spans="1:28" hidden="1" x14ac:dyDescent="0.2">
      <c r="A43" s="115"/>
      <c r="B43" s="116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</row>
    <row r="44" spans="1:28" x14ac:dyDescent="0.2">
      <c r="A44" s="101"/>
      <c r="M44" s="118"/>
    </row>
    <row r="47" spans="1:28" hidden="1" x14ac:dyDescent="0.2">
      <c r="A47" s="34" t="s">
        <v>265</v>
      </c>
      <c r="U47" s="137">
        <f>(U8+U9)/('[1]ICNC Interim Activities'!AI24/3)</f>
        <v>3.2337289054946998</v>
      </c>
      <c r="V47" s="137">
        <f>(V8+V9)/('[1]ICNC Interim Activities'!AJ24/3)</f>
        <v>3.5573150581085642</v>
      </c>
      <c r="W47" s="137">
        <f>(W8+W9)/(('[1]ICNC Interim Activities'!AK24+'[1]ICNC Interim Activities'!AJ24)/6)</f>
        <v>4.2831008905968408</v>
      </c>
      <c r="X47" s="137">
        <f>(X8+X9)/(('[1]ICNC Interim Activities'!AL24+'[1]ICNC Interim Activities'!AK24+'[1]ICNC Interim Activities'!AJ24)/9)</f>
        <v>4.7283838402900908</v>
      </c>
      <c r="Y47" s="137">
        <f>(Y8+Y9)/('[1]ICNC Interim Activities'!AN24/12)</f>
        <v>4.7751986628300012</v>
      </c>
    </row>
    <row r="66" spans="4:6" x14ac:dyDescent="0.2">
      <c r="D66" s="39"/>
      <c r="E66" s="39"/>
      <c r="F66" s="39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1"/>
  <sheetViews>
    <sheetView workbookViewId="0"/>
  </sheetViews>
  <sheetFormatPr defaultColWidth="9.140625" defaultRowHeight="15" x14ac:dyDescent="0.25"/>
  <cols>
    <col min="1" max="3" width="2.85546875" style="34" customWidth="1"/>
    <col min="4" max="4" width="33.7109375" style="34" customWidth="1"/>
    <col min="5" max="5" width="11" style="119" hidden="1" customWidth="1"/>
    <col min="6" max="6" width="11.5703125" style="39" customWidth="1"/>
    <col min="7" max="7" width="10.140625" style="39" customWidth="1"/>
    <col min="8" max="8" width="10.28515625" style="34" hidden="1" customWidth="1"/>
    <col min="9" max="9" width="10.140625" style="34" customWidth="1"/>
    <col min="10" max="10" width="10.28515625" style="34" hidden="1" customWidth="1"/>
    <col min="11" max="12" width="11.42578125" style="34" hidden="1" customWidth="1"/>
    <col min="13" max="13" width="10.28515625" style="4" hidden="1" customWidth="1"/>
    <col min="14" max="15" width="10.5703125" style="34" hidden="1" customWidth="1"/>
    <col min="16" max="16" width="11.5703125" style="34" hidden="1" customWidth="1"/>
    <col min="17" max="17" width="10.85546875" style="34" customWidth="1"/>
    <col min="18" max="18" width="11.5703125" style="40" hidden="1" customWidth="1"/>
    <col min="19" max="19" width="10.140625" style="40" hidden="1" customWidth="1"/>
    <col min="20" max="20" width="11.5703125" style="40" hidden="1" customWidth="1"/>
    <col min="21" max="21" width="10.140625" style="40" hidden="1" customWidth="1"/>
    <col min="22" max="24" width="11.5703125" style="40" hidden="1" customWidth="1"/>
    <col min="25" max="25" width="10.140625" style="40" hidden="1" customWidth="1"/>
    <col min="26" max="28" width="11.5703125" style="40" hidden="1" customWidth="1"/>
    <col min="29" max="29" width="10.140625" style="40" hidden="1" customWidth="1"/>
    <col min="30" max="30" width="9.7109375" style="40" hidden="1" customWidth="1"/>
    <col min="31" max="31" width="10.140625" style="40" customWidth="1"/>
    <col min="32" max="32" width="11.5703125" style="39" hidden="1" customWidth="1"/>
    <col min="33" max="34" width="12.5703125" style="39" bestFit="1" customWidth="1"/>
    <col min="35" max="37" width="12.5703125" style="39" hidden="1" customWidth="1"/>
    <col min="38" max="38" width="14.140625" style="39" hidden="1" customWidth="1"/>
    <col min="39" max="41" width="10.85546875" style="34" hidden="1" customWidth="1"/>
    <col min="42" max="42" width="11.85546875" style="34" bestFit="1" customWidth="1"/>
    <col min="43" max="16384" width="9.140625" style="34"/>
  </cols>
  <sheetData>
    <row r="1" spans="1:41" x14ac:dyDescent="0.25">
      <c r="A1" s="33" t="s">
        <v>196</v>
      </c>
    </row>
    <row r="2" spans="1:41" x14ac:dyDescent="0.25">
      <c r="A2" s="34" t="s">
        <v>170</v>
      </c>
    </row>
    <row r="4" spans="1:41" ht="12" x14ac:dyDescent="0.2">
      <c r="A4" s="58"/>
      <c r="B4" s="59"/>
      <c r="C4" s="59"/>
      <c r="D4" s="59"/>
      <c r="E4" s="85">
        <v>2012</v>
      </c>
      <c r="F4" s="85">
        <v>2013</v>
      </c>
      <c r="G4" s="120">
        <v>2014</v>
      </c>
      <c r="H4" s="48">
        <v>42369</v>
      </c>
      <c r="I4" s="85">
        <v>2015</v>
      </c>
      <c r="J4" s="48" t="s">
        <v>242</v>
      </c>
      <c r="K4" s="86" t="s">
        <v>243</v>
      </c>
      <c r="L4" s="86" t="s">
        <v>244</v>
      </c>
      <c r="M4" s="85" t="s">
        <v>245</v>
      </c>
      <c r="N4" s="48" t="s">
        <v>246</v>
      </c>
      <c r="O4" s="48" t="s">
        <v>247</v>
      </c>
      <c r="P4" s="60" t="s">
        <v>246</v>
      </c>
      <c r="Q4" s="85">
        <v>2016</v>
      </c>
      <c r="R4" s="121">
        <v>2016</v>
      </c>
      <c r="S4" s="60" t="s">
        <v>213</v>
      </c>
      <c r="T4" s="60" t="s">
        <v>213</v>
      </c>
      <c r="U4" s="60" t="s">
        <v>214</v>
      </c>
      <c r="V4" s="60" t="s">
        <v>214</v>
      </c>
      <c r="W4" s="60" t="s">
        <v>248</v>
      </c>
      <c r="X4" s="60" t="s">
        <v>248</v>
      </c>
      <c r="Y4" s="60" t="s">
        <v>215</v>
      </c>
      <c r="Z4" s="60" t="s">
        <v>215</v>
      </c>
      <c r="AA4" s="60" t="s">
        <v>260</v>
      </c>
      <c r="AB4" s="60" t="s">
        <v>260</v>
      </c>
      <c r="AC4" s="60" t="s">
        <v>249</v>
      </c>
      <c r="AD4" s="60" t="s">
        <v>249</v>
      </c>
      <c r="AE4" s="60">
        <v>2017</v>
      </c>
      <c r="AF4" s="50">
        <v>2017</v>
      </c>
      <c r="AG4" s="48">
        <v>43190</v>
      </c>
      <c r="AH4" s="48">
        <v>43190</v>
      </c>
      <c r="AI4" s="50" t="s">
        <v>266</v>
      </c>
      <c r="AJ4" s="50" t="s">
        <v>267</v>
      </c>
      <c r="AK4" s="50" t="s">
        <v>268</v>
      </c>
      <c r="AL4" s="50">
        <v>2018</v>
      </c>
      <c r="AM4" s="85">
        <v>2018</v>
      </c>
      <c r="AN4" s="85">
        <v>2019</v>
      </c>
      <c r="AO4" s="122">
        <v>2020</v>
      </c>
    </row>
    <row r="5" spans="1:41" ht="12" x14ac:dyDescent="0.2">
      <c r="A5" s="61"/>
      <c r="B5" s="59"/>
      <c r="C5" s="59"/>
      <c r="D5" s="59"/>
      <c r="E5" s="50" t="s">
        <v>171</v>
      </c>
      <c r="F5" s="50" t="s">
        <v>171</v>
      </c>
      <c r="G5" s="48" t="s">
        <v>171</v>
      </c>
      <c r="H5" s="48" t="s">
        <v>250</v>
      </c>
      <c r="I5" s="51" t="s">
        <v>171</v>
      </c>
      <c r="J5" s="48" t="s">
        <v>250</v>
      </c>
      <c r="K5" s="86" t="s">
        <v>250</v>
      </c>
      <c r="L5" s="86" t="s">
        <v>250</v>
      </c>
      <c r="M5" s="85" t="s">
        <v>250</v>
      </c>
      <c r="N5" s="48" t="s">
        <v>250</v>
      </c>
      <c r="O5" s="48" t="s">
        <v>250</v>
      </c>
      <c r="P5" s="88" t="s">
        <v>172</v>
      </c>
      <c r="Q5" s="51" t="s">
        <v>171</v>
      </c>
      <c r="R5" s="62" t="s">
        <v>172</v>
      </c>
      <c r="S5" s="62" t="s">
        <v>197</v>
      </c>
      <c r="T5" s="88" t="s">
        <v>172</v>
      </c>
      <c r="U5" s="62" t="s">
        <v>197</v>
      </c>
      <c r="V5" s="88" t="s">
        <v>172</v>
      </c>
      <c r="W5" s="62" t="s">
        <v>197</v>
      </c>
      <c r="X5" s="88" t="s">
        <v>172</v>
      </c>
      <c r="Y5" s="62" t="s">
        <v>197</v>
      </c>
      <c r="Z5" s="88" t="s">
        <v>172</v>
      </c>
      <c r="AA5" s="62" t="s">
        <v>197</v>
      </c>
      <c r="AB5" s="88" t="s">
        <v>172</v>
      </c>
      <c r="AC5" s="62" t="s">
        <v>197</v>
      </c>
      <c r="AD5" s="88" t="s">
        <v>172</v>
      </c>
      <c r="AE5" s="62" t="s">
        <v>197</v>
      </c>
      <c r="AF5" s="50" t="s">
        <v>172</v>
      </c>
      <c r="AG5" s="50" t="s">
        <v>197</v>
      </c>
      <c r="AH5" s="50" t="s">
        <v>172</v>
      </c>
      <c r="AI5" s="50" t="s">
        <v>172</v>
      </c>
      <c r="AJ5" s="50" t="s">
        <v>172</v>
      </c>
      <c r="AK5" s="50" t="s">
        <v>172</v>
      </c>
      <c r="AL5" s="50" t="s">
        <v>172</v>
      </c>
      <c r="AM5" s="85" t="s">
        <v>251</v>
      </c>
      <c r="AN5" s="85" t="s">
        <v>251</v>
      </c>
      <c r="AO5" s="122" t="s">
        <v>251</v>
      </c>
    </row>
    <row r="6" spans="1:41" x14ac:dyDescent="0.25">
      <c r="A6" s="63" t="s">
        <v>173</v>
      </c>
      <c r="B6" s="53"/>
      <c r="C6" s="53"/>
      <c r="D6" s="53"/>
      <c r="E6" s="123"/>
      <c r="F6" s="57"/>
      <c r="G6" s="57"/>
      <c r="H6" s="53"/>
      <c r="I6" s="53"/>
      <c r="J6" s="53"/>
      <c r="K6" s="52"/>
      <c r="L6" s="52"/>
      <c r="M6" s="124"/>
      <c r="N6" s="53"/>
      <c r="O6" s="53"/>
      <c r="P6" s="53"/>
      <c r="Q6" s="53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57"/>
      <c r="AG6" s="57"/>
      <c r="AH6" s="57"/>
      <c r="AI6" s="57"/>
      <c r="AJ6" s="57"/>
      <c r="AK6" s="57"/>
      <c r="AL6" s="57"/>
      <c r="AM6" s="53"/>
      <c r="AN6" s="53"/>
      <c r="AO6" s="89"/>
    </row>
    <row r="7" spans="1:41" x14ac:dyDescent="0.25">
      <c r="A7" s="47"/>
      <c r="B7" s="53"/>
      <c r="C7" s="53"/>
      <c r="D7" s="53"/>
      <c r="E7" s="123"/>
      <c r="F7" s="57"/>
      <c r="G7" s="57"/>
      <c r="H7" s="53"/>
      <c r="I7" s="53"/>
      <c r="J7" s="53"/>
      <c r="K7" s="52"/>
      <c r="L7" s="52"/>
      <c r="M7" s="124"/>
      <c r="N7" s="53"/>
      <c r="O7" s="53"/>
      <c r="P7" s="53"/>
      <c r="Q7" s="53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57"/>
      <c r="AG7" s="57"/>
      <c r="AH7" s="57"/>
      <c r="AI7" s="57"/>
      <c r="AJ7" s="57"/>
      <c r="AK7" s="57"/>
      <c r="AL7" s="57"/>
      <c r="AM7" s="53"/>
      <c r="AN7" s="53"/>
      <c r="AO7" s="89"/>
    </row>
    <row r="8" spans="1:41" ht="12" x14ac:dyDescent="0.2">
      <c r="A8" s="47"/>
      <c r="B8" s="53" t="s">
        <v>174</v>
      </c>
      <c r="C8" s="53"/>
      <c r="D8" s="53"/>
      <c r="E8" s="52">
        <v>614714</v>
      </c>
      <c r="F8" s="52">
        <v>419013</v>
      </c>
      <c r="G8" s="52">
        <v>457431</v>
      </c>
      <c r="H8" s="52">
        <f>'[1]ICNC Activities'!J26</f>
        <v>38966.910000000149</v>
      </c>
      <c r="I8" s="52">
        <v>130027</v>
      </c>
      <c r="J8" s="52">
        <f>'[1]ICNC Activities'!L26</f>
        <v>21074.749999999884</v>
      </c>
      <c r="K8" s="52">
        <f>'[1]ICNC Activities'!M26</f>
        <v>46873.870000000345</v>
      </c>
      <c r="L8" s="52">
        <f>'[1]ICNC Activities'!N26</f>
        <v>-3422.9699999996228</v>
      </c>
      <c r="M8" s="52">
        <f>'[1]ICNC Activities'!O26</f>
        <v>37767.179999999818</v>
      </c>
      <c r="N8" s="52">
        <f>J8+K8</f>
        <v>67948.620000000228</v>
      </c>
      <c r="O8" s="52">
        <f>'[1]ICNC Activities'!Q26</f>
        <v>64529.920000000158</v>
      </c>
      <c r="P8" s="52">
        <f>-SUM('[1]Trial Balances'!W67:W70)</f>
        <v>86704</v>
      </c>
      <c r="Q8" s="52">
        <f>'[1]ICNC Activities'!R26</f>
        <v>127632.77000000002</v>
      </c>
      <c r="R8" s="52">
        <f>-SUM('[1]Trial Balances'!AE67:AE70)</f>
        <v>190439</v>
      </c>
      <c r="S8" s="52">
        <f>'[1]ICNC Activities'!U26</f>
        <v>29575.560000000056</v>
      </c>
      <c r="T8" s="52">
        <f>'[1]ICNC Activities'!V26</f>
        <v>-2001</v>
      </c>
      <c r="U8" s="52">
        <f>'[1]ICNC Interim Activities'!W26</f>
        <v>103341.83999999997</v>
      </c>
      <c r="V8" s="52">
        <f>'[1]ICNC Activities'!X26</f>
        <v>17902</v>
      </c>
      <c r="W8" s="52">
        <f>U8+S8</f>
        <v>132917.40000000002</v>
      </c>
      <c r="X8" s="52">
        <f>V8+T8</f>
        <v>15901</v>
      </c>
      <c r="Y8" s="52">
        <f>'[1]ICNC Interim Activities'!AA26</f>
        <v>125308.92999999993</v>
      </c>
      <c r="Z8" s="52">
        <f>'[1]ICNC Activities'!AA26</f>
        <v>60271</v>
      </c>
      <c r="AA8" s="52">
        <f>Y8+U8+S8</f>
        <v>258226.32999999996</v>
      </c>
      <c r="AB8" s="52">
        <f>AF8-AD8</f>
        <v>76172</v>
      </c>
      <c r="AC8" s="52">
        <f>'[1]ICNC Interim Activities'!AE26</f>
        <v>76691.220000000088</v>
      </c>
      <c r="AD8" s="52">
        <f>'[1]ICNC Activities'!AB26</f>
        <v>61136</v>
      </c>
      <c r="AE8" s="52">
        <f>AC8+Y8+U8+S8</f>
        <v>334917.55000000005</v>
      </c>
      <c r="AF8" s="52">
        <f>'[1]ICNC Activities'!AD26</f>
        <v>137308</v>
      </c>
      <c r="AG8" s="52">
        <f>'[1]ICNC Interim Activities'!AI26</f>
        <v>74244.930000000051</v>
      </c>
      <c r="AH8" s="52">
        <f>'[1]ICNC Interim Activities'!AJ26</f>
        <v>53480.859999999986</v>
      </c>
      <c r="AI8" s="52">
        <f>'[1]ICNC Interim Activities'!AK26</f>
        <v>56853.810000000056</v>
      </c>
      <c r="AJ8" s="52">
        <f>'[1]ICNC Interim Activities'!AL26</f>
        <v>104563.53000000003</v>
      </c>
      <c r="AK8" s="52">
        <f>'[1]ICNC Interim Activities'!AM26</f>
        <v>125633.53000000003</v>
      </c>
      <c r="AL8" s="52">
        <f>'[1]ICNC Interim Activities'!AN26</f>
        <v>340531.73</v>
      </c>
      <c r="AM8" s="52">
        <f>'[1]ICNC Activities'!AF26</f>
        <v>257365.89250067296</v>
      </c>
      <c r="AN8" s="52">
        <f>'[1]ICNC Activities'!AG26</f>
        <v>268280.31830738019</v>
      </c>
      <c r="AO8" s="94">
        <f>'[1]ICNC Activities'!AH26</f>
        <v>276962.89131694799</v>
      </c>
    </row>
    <row r="9" spans="1:41" ht="12" x14ac:dyDescent="0.2">
      <c r="A9" s="47"/>
      <c r="B9" s="53" t="s">
        <v>175</v>
      </c>
      <c r="C9" s="53"/>
      <c r="D9" s="53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94"/>
    </row>
    <row r="10" spans="1:41" ht="12" x14ac:dyDescent="0.2">
      <c r="A10" s="47"/>
      <c r="B10" s="53"/>
      <c r="C10" s="53" t="s">
        <v>176</v>
      </c>
      <c r="D10" s="53"/>
      <c r="E10" s="52">
        <v>200768</v>
      </c>
      <c r="F10" s="52">
        <v>203186</v>
      </c>
      <c r="G10" s="52">
        <v>213211</v>
      </c>
      <c r="H10" s="52">
        <f>'[1]Trial Balances'!H161</f>
        <v>324000</v>
      </c>
      <c r="I10" s="52">
        <v>224335</v>
      </c>
      <c r="J10" s="52">
        <f>'[1]Trial Balances'!M136</f>
        <v>81000</v>
      </c>
      <c r="K10" s="52">
        <f>'[1]Trial Balances'!R137-'[1]ICNC Cash Flows'!J10</f>
        <v>81000</v>
      </c>
      <c r="L10" s="52">
        <f>'[1]Trial Balances'!AA152-'[1]Trial Balances'!R137</f>
        <v>81000</v>
      </c>
      <c r="M10" s="52">
        <f>Q10-SUM(J10:L10)</f>
        <v>-14180</v>
      </c>
      <c r="N10" s="52">
        <f t="shared" ref="N10:N21" si="0">J10+K10</f>
        <v>162000</v>
      </c>
      <c r="O10" s="52">
        <f>'[1]Trial Balances'!AA152</f>
        <v>243000</v>
      </c>
      <c r="P10" s="52">
        <f>'[1]Trial Balances'!H40-'[1]Trial Balances'!W34</f>
        <v>164340</v>
      </c>
      <c r="Q10" s="52">
        <v>228820</v>
      </c>
      <c r="R10" s="52">
        <f>'[1]Trial Balances'!H40-'[1]Trial Balances'!AE34</f>
        <v>328680</v>
      </c>
      <c r="S10" s="52">
        <f>'[1]Trial Balances'!AM122</f>
        <v>82500</v>
      </c>
      <c r="T10" s="52">
        <f>[1]Assumptions!$B$8/4</f>
        <v>82500</v>
      </c>
      <c r="U10" s="52">
        <f>'[1]Trial Balances'!AQ126-'[1]ICNC Cash Flows'!S10</f>
        <v>82500</v>
      </c>
      <c r="V10" s="52">
        <f>[1]Assumptions!$B$8/4</f>
        <v>82500</v>
      </c>
      <c r="W10" s="52">
        <f>U10+S10</f>
        <v>165000</v>
      </c>
      <c r="X10" s="52">
        <f>V10+T10</f>
        <v>165000</v>
      </c>
      <c r="Y10" s="52">
        <v>82500</v>
      </c>
      <c r="Z10" s="52">
        <f>[1]Assumptions!$B$8/4</f>
        <v>82500</v>
      </c>
      <c r="AA10" s="52">
        <f t="shared" ref="AA10:AA21" si="1">Y10+U10+S10</f>
        <v>247500</v>
      </c>
      <c r="AB10" s="52">
        <f t="shared" ref="AB10:AB23" si="2">AF10-AD10</f>
        <v>247500</v>
      </c>
      <c r="AC10" s="52">
        <v>110000</v>
      </c>
      <c r="AD10" s="52">
        <f>[1]Assumptions!$B$8/4</f>
        <v>82500</v>
      </c>
      <c r="AE10" s="52">
        <f>AC10+Y10+U10+S10</f>
        <v>357500</v>
      </c>
      <c r="AF10" s="52">
        <f>[1]Assumptions!B8</f>
        <v>330000</v>
      </c>
      <c r="AG10" s="52">
        <v>82500</v>
      </c>
      <c r="AH10" s="52">
        <v>82500</v>
      </c>
      <c r="AI10" s="52">
        <v>82500</v>
      </c>
      <c r="AJ10" s="52">
        <v>82500</v>
      </c>
      <c r="AK10" s="52">
        <v>82500</v>
      </c>
      <c r="AL10" s="52">
        <f>AH10+AI10+AJ10+AK10</f>
        <v>330000</v>
      </c>
      <c r="AM10" s="52">
        <f>Q10+(([1]Assumptions!B18)/22)</f>
        <v>320183.63636363635</v>
      </c>
      <c r="AN10" s="52">
        <f>Q10+(([1]Assumptions!B18+[1]Assumptions!B39)/22)</f>
        <v>335399.54545454547</v>
      </c>
      <c r="AO10" s="94">
        <f>Q10+(([1]Assumptions!B18+[1]Assumptions!B39+[1]Assumptions!B58)/22)</f>
        <v>351071.93181818182</v>
      </c>
    </row>
    <row r="11" spans="1:41" ht="12" hidden="1" x14ac:dyDescent="0.2">
      <c r="A11" s="47"/>
      <c r="B11" s="53"/>
      <c r="C11" s="53" t="s">
        <v>216</v>
      </c>
      <c r="D11" s="53"/>
      <c r="E11" s="52">
        <v>2566</v>
      </c>
      <c r="F11" s="52">
        <v>2566</v>
      </c>
      <c r="G11" s="52">
        <v>2566</v>
      </c>
      <c r="H11" s="52">
        <f>'[1]Trial Balances'!H162</f>
        <v>2556.04</v>
      </c>
      <c r="I11" s="52">
        <v>2780</v>
      </c>
      <c r="J11" s="52">
        <v>0</v>
      </c>
      <c r="K11" s="52">
        <v>0</v>
      </c>
      <c r="L11" s="52">
        <v>0</v>
      </c>
      <c r="M11" s="52">
        <v>0</v>
      </c>
      <c r="N11" s="52">
        <f t="shared" si="0"/>
        <v>0</v>
      </c>
      <c r="O11" s="52">
        <f>J11+K11+L11</f>
        <v>0</v>
      </c>
      <c r="P11" s="52">
        <v>0</v>
      </c>
      <c r="Q11" s="52">
        <v>0</v>
      </c>
      <c r="R11" s="52">
        <v>0</v>
      </c>
      <c r="S11" s="52"/>
      <c r="T11" s="64"/>
      <c r="U11" s="64"/>
      <c r="V11" s="64"/>
      <c r="W11" s="64"/>
      <c r="X11" s="64"/>
      <c r="Y11" s="64"/>
      <c r="Z11" s="64"/>
      <c r="AA11" s="52">
        <f t="shared" si="1"/>
        <v>0</v>
      </c>
      <c r="AB11" s="52">
        <f t="shared" si="2"/>
        <v>0</v>
      </c>
      <c r="AC11" s="52"/>
      <c r="AD11" s="64"/>
      <c r="AE11" s="64"/>
      <c r="AF11" s="52"/>
      <c r="AG11" s="52"/>
      <c r="AH11" s="52"/>
      <c r="AI11" s="52"/>
      <c r="AJ11" s="52"/>
      <c r="AK11" s="52"/>
      <c r="AL11" s="52"/>
      <c r="AM11" s="52"/>
      <c r="AN11" s="52"/>
      <c r="AO11" s="94"/>
    </row>
    <row r="12" spans="1:41" ht="12" x14ac:dyDescent="0.2">
      <c r="A12" s="47"/>
      <c r="B12" s="53"/>
      <c r="C12" s="53" t="s">
        <v>217</v>
      </c>
      <c r="D12" s="53"/>
      <c r="E12" s="52">
        <v>-20000</v>
      </c>
      <c r="F12" s="52">
        <v>41715</v>
      </c>
      <c r="G12" s="52">
        <v>41715</v>
      </c>
      <c r="H12" s="52">
        <f>'[1]Trial Balances'!C20+'[1]Trial Balances'!C22-'[1]Trial Balances'!H20-'[1]Trial Balances'!H22</f>
        <v>-7739.4499999999825</v>
      </c>
      <c r="I12" s="52">
        <v>-2392</v>
      </c>
      <c r="J12" s="52">
        <v>0</v>
      </c>
      <c r="K12" s="52">
        <v>0</v>
      </c>
      <c r="L12" s="52">
        <f>'[1]Trial Balances'!R17-'[1]Trial Balances'!AA18</f>
        <v>-39963.320000000007</v>
      </c>
      <c r="M12" s="52">
        <f t="shared" ref="M12:M21" si="3">Q12-SUM(J12:L12)</f>
        <v>-67402.679999999993</v>
      </c>
      <c r="N12" s="52">
        <f t="shared" si="0"/>
        <v>0</v>
      </c>
      <c r="O12" s="52">
        <f t="shared" ref="O12:O21" si="4">J12+K12+L12</f>
        <v>-39963.320000000007</v>
      </c>
      <c r="P12" s="52">
        <f>'[1]Trial Balances'!H20+'[1]Trial Balances'!H22-'[1]Trial Balances'!W17</f>
        <v>-261.85000000000582</v>
      </c>
      <c r="Q12" s="52">
        <v>-107366</v>
      </c>
      <c r="R12" s="52">
        <f>'[1]Trial Balances'!H20+'[1]Trial Balances'!H22-'[1]Trial Balances'!AE17</f>
        <v>-261.85000000000582</v>
      </c>
      <c r="S12" s="52">
        <v>0</v>
      </c>
      <c r="T12" s="52">
        <f>[1]Assumptions!$B$9/4</f>
        <v>7500</v>
      </c>
      <c r="U12" s="52"/>
      <c r="V12" s="52">
        <f>[1]Assumptions!$B$9/4</f>
        <v>7500</v>
      </c>
      <c r="W12" s="52">
        <f t="shared" ref="W12:W15" si="5">U12+S12</f>
        <v>0</v>
      </c>
      <c r="X12" s="52">
        <f>V12+T12</f>
        <v>15000</v>
      </c>
      <c r="Y12" s="52">
        <v>0</v>
      </c>
      <c r="Z12" s="52">
        <f>[1]Assumptions!$B$9/4</f>
        <v>7500</v>
      </c>
      <c r="AA12" s="52">
        <f t="shared" si="1"/>
        <v>0</v>
      </c>
      <c r="AB12" s="52">
        <f t="shared" si="2"/>
        <v>22500</v>
      </c>
      <c r="AC12" s="52"/>
      <c r="AD12" s="52">
        <f>[1]Assumptions!$B$9/4</f>
        <v>7500</v>
      </c>
      <c r="AE12" s="52"/>
      <c r="AF12" s="52">
        <v>30000</v>
      </c>
      <c r="AG12" s="52">
        <v>0</v>
      </c>
      <c r="AH12" s="52">
        <v>6362</v>
      </c>
      <c r="AI12" s="52">
        <f>2117*3</f>
        <v>6351</v>
      </c>
      <c r="AJ12" s="52">
        <f>2117*3</f>
        <v>6351</v>
      </c>
      <c r="AK12" s="52">
        <f>2117*3</f>
        <v>6351</v>
      </c>
      <c r="AL12" s="52">
        <f>AH12+AI12+AJ12+AK12</f>
        <v>25415</v>
      </c>
      <c r="AM12" s="52">
        <f>'[1]ICNC Activities'!AF8*[1]Assumptions!B33</f>
        <v>38956.22595</v>
      </c>
      <c r="AN12" s="52">
        <f>'[1]ICNC Activities'!AG8*[1]Assumptions!B52</f>
        <v>40124.9127285</v>
      </c>
      <c r="AO12" s="94">
        <f>'[1]ICNC Activities'!AH8*[1]Assumptions!B71</f>
        <v>41328.660110355006</v>
      </c>
    </row>
    <row r="13" spans="1:41" ht="12" x14ac:dyDescent="0.2">
      <c r="A13" s="47"/>
      <c r="B13" s="53"/>
      <c r="C13" s="53" t="s">
        <v>218</v>
      </c>
      <c r="D13" s="53"/>
      <c r="E13" s="52">
        <v>35460</v>
      </c>
      <c r="F13" s="52">
        <v>-14166</v>
      </c>
      <c r="G13" s="52">
        <v>-17860</v>
      </c>
      <c r="H13" s="52">
        <f>'[1]Trial Balances'!C19+'[1]Trial Balances'!C21-'[1]Trial Balances'!H19-'[1]Trial Balances'!H21</f>
        <v>5236.9800000000105</v>
      </c>
      <c r="I13" s="52">
        <v>34655</v>
      </c>
      <c r="J13" s="52">
        <f>'[1]Trial Balances'!H19+'[1]Trial Balances'!H21-'[1]Trial Balances'!M19-'[1]Trial Balances'!M21</f>
        <v>57966.039999999979</v>
      </c>
      <c r="K13" s="52">
        <f>'[1]Trial Balances'!M19+'[1]Trial Balances'!M21-'[1]Trial Balances'!R16</f>
        <v>6996.0299999999988</v>
      </c>
      <c r="L13" s="52">
        <f>'[1]Trial Balances'!R16-'[1]Trial Balances'!AA17</f>
        <v>45914.670000000013</v>
      </c>
      <c r="M13" s="52">
        <f>Q13-SUM(J13:L13)</f>
        <v>14772.260000000009</v>
      </c>
      <c r="N13" s="52">
        <f t="shared" si="0"/>
        <v>64962.069999999978</v>
      </c>
      <c r="O13" s="52">
        <f t="shared" si="4"/>
        <v>110876.73999999999</v>
      </c>
      <c r="P13" s="52">
        <f>'[1]Trial Balances'!H19+'[1]Trial Balances'!H21-'[1]Trial Balances'!W16</f>
        <v>64758.709999999992</v>
      </c>
      <c r="Q13" s="52">
        <v>125649</v>
      </c>
      <c r="R13" s="52">
        <f>'[1]Trial Balances'!H19+'[1]Trial Balances'!H21-'[1]Trial Balances'!AE16</f>
        <v>64758.709999999992</v>
      </c>
      <c r="S13" s="52">
        <f>'[1]ICNC Financial Position'!J11-'[1]ICNC Financial Position'!M11</f>
        <v>37446.160000000003</v>
      </c>
      <c r="T13" s="52">
        <f>'[1]ICNC Financial Position'!J11-'[1]ICNC Financial Position'!N11-T12</f>
        <v>-14085</v>
      </c>
      <c r="U13" s="52">
        <f>'[1]ICNC Financial Position'!M11-'[1]ICNC Financial Position'!O11</f>
        <v>-6369.8000000000029</v>
      </c>
      <c r="V13" s="52">
        <f>'[1]ICNC Financial Position'!N11-'[1]ICNC Financial Position'!P11-'[1]ICNC Cash Flows'!V12</f>
        <v>-7500</v>
      </c>
      <c r="W13" s="52">
        <f t="shared" si="5"/>
        <v>31076.36</v>
      </c>
      <c r="X13" s="52">
        <f>V13+T13</f>
        <v>-21585</v>
      </c>
      <c r="Y13" s="52">
        <f>'[1]ICNC Interim Financial Position'!O11-'[1]ICNC Interim Financial Position'!Q11</f>
        <v>-6958.16</v>
      </c>
      <c r="Z13" s="52">
        <f>'[1]ICNC Financial Position'!P11-'[1]ICNC Financial Position'!Q11-'[1]ICNC Cash Flows'!Y12</f>
        <v>-7500</v>
      </c>
      <c r="AA13" s="52">
        <f t="shared" si="1"/>
        <v>24118.2</v>
      </c>
      <c r="AB13" s="52">
        <f t="shared" si="2"/>
        <v>-29085</v>
      </c>
      <c r="AC13" s="52">
        <f>'[1]ICNC Interim Financial Position'!Q11-'[1]ICNC Interim Financial Position'!S11</f>
        <v>4319.7200000000012</v>
      </c>
      <c r="AD13" s="52">
        <f>'[1]ICNC Financial Position'!Q11-'[1]ICNC Financial Position'!S11-'[1]ICNC Cash Flows'!Z12</f>
        <v>-7429.5374999999985</v>
      </c>
      <c r="AE13" s="52">
        <f t="shared" ref="AE13:AE21" si="6">AC13+Y13+U13+S13</f>
        <v>28437.920000000002</v>
      </c>
      <c r="AF13" s="52">
        <f>'[1]ICNC Financial Position'!J11-'[1]ICNC Financial Position'!S11-'[1]ICNC Cash Flows'!AB12</f>
        <v>-36514.537499999999</v>
      </c>
      <c r="AG13" s="52">
        <f>'[1]ICNC Interim Financial Position'!S11-'[1]ICNC Interim Financial Position'!U11</f>
        <v>-22803.77</v>
      </c>
      <c r="AH13" s="52">
        <f>'[1]ICNC Interim Financial Position'!S11-'[1]ICNC Interim Financial Position'!V11-AH12</f>
        <v>-41384.92</v>
      </c>
      <c r="AI13" s="52">
        <f>'[1]ICNC Interim Financial Position'!V11-'[1]ICNC Interim Financial Position'!W11-AI12</f>
        <v>-6351</v>
      </c>
      <c r="AJ13" s="52">
        <f>'[1]ICNC Interim Financial Position'!W11-'[1]ICNC Interim Financial Position'!X11-'[1]ICNC Interim Cash Flows'!AJ12</f>
        <v>-6351</v>
      </c>
      <c r="AK13" s="52">
        <f>'[1]ICNC Interim Financial Position'!X11-'[1]ICNC Interim Financial Position'!Y11-'[1]ICNC Interim Cash Flows'!AK12</f>
        <v>-6351</v>
      </c>
      <c r="AL13" s="52">
        <f>AH13+AI13+AJ13+AK13</f>
        <v>-60437.919999999998</v>
      </c>
      <c r="AM13" s="52">
        <f>'[1]ICNC Financial Position'!S11-'[1]ICNC Financial Position'!U11-AM12</f>
        <v>-42686.964887499998</v>
      </c>
      <c r="AN13" s="52">
        <f>'[1]ICNC Financial Position'!U11-'[1]ICNC Financial Position'!V11-AN12</f>
        <v>-41162.298966281254</v>
      </c>
      <c r="AO13" s="94">
        <f>'[1]ICNC Financial Position'!V11-'[1]ICNC Financial Position'!W11-'[1]ICNC Cash Flows'!AF12</f>
        <v>-42364.031658495835</v>
      </c>
    </row>
    <row r="14" spans="1:41" ht="12" x14ac:dyDescent="0.2">
      <c r="A14" s="47"/>
      <c r="B14" s="53"/>
      <c r="C14" s="53" t="s">
        <v>219</v>
      </c>
      <c r="D14" s="53"/>
      <c r="E14" s="52">
        <v>201396</v>
      </c>
      <c r="F14" s="52">
        <v>-56177</v>
      </c>
      <c r="G14" s="52">
        <v>31088</v>
      </c>
      <c r="H14" s="52">
        <f>'[1]ICNC Financial Position'!D12-'[1]ICNC Financial Position'!E12</f>
        <v>-64998.649999999994</v>
      </c>
      <c r="I14" s="52">
        <v>-64999</v>
      </c>
      <c r="J14" s="52">
        <f>'[1]Trial Balances'!H24-'[1]Trial Balances'!M24</f>
        <v>56861.789999999994</v>
      </c>
      <c r="K14" s="52">
        <f>'[1]Trial Balances'!M24-'[1]Trial Balances'!R18</f>
        <v>-20475.880000000005</v>
      </c>
      <c r="L14" s="52">
        <f>'[1]ICNC Financial Position'!H12-'[1]ICNC Financial Position'!I12</f>
        <v>-18236.099999999991</v>
      </c>
      <c r="M14" s="52">
        <f t="shared" si="3"/>
        <v>10479.190000000002</v>
      </c>
      <c r="N14" s="52">
        <f t="shared" si="0"/>
        <v>36385.909999999989</v>
      </c>
      <c r="O14" s="52">
        <f t="shared" si="4"/>
        <v>18149.809999999998</v>
      </c>
      <c r="P14" s="52">
        <f>'[1]ICNC Financial Position'!E12-'[1]ICNC Financial Position'!K12</f>
        <v>80894.649999999994</v>
      </c>
      <c r="Q14" s="52">
        <f>'[1]ICNC Financial Position'!F12-'[1]ICNC Financial Position'!J12</f>
        <v>28629</v>
      </c>
      <c r="R14" s="52">
        <f>'[1]ICNC Financial Position'!E12-'[1]ICNC Financial Position'!L12</f>
        <v>80894.649999999994</v>
      </c>
      <c r="S14" s="52">
        <f>'[1]ICNC Financial Position'!J12-'[1]ICNC Financial Position'!M12</f>
        <v>25084.42</v>
      </c>
      <c r="T14" s="52">
        <f>'[1]ICNC Financial Position'!J12-'[1]ICNC Financial Position'!N12</f>
        <v>30266</v>
      </c>
      <c r="U14" s="52">
        <f>'[1]ICNC Financial Position'!M12-'[1]ICNC Financial Position'!O12</f>
        <v>-12330.339999999997</v>
      </c>
      <c r="V14" s="52">
        <f>'[1]ICNC Financial Position'!N12-'[1]ICNC Financial Position'!P12</f>
        <v>0</v>
      </c>
      <c r="W14" s="52">
        <f t="shared" si="5"/>
        <v>12754.080000000002</v>
      </c>
      <c r="X14" s="52">
        <f>V14+T14</f>
        <v>30266</v>
      </c>
      <c r="Y14" s="52">
        <f>'[1]ICNC Interim Financial Position'!O12-'[1]ICNC Interim Financial Position'!Q12</f>
        <v>30541.019999999997</v>
      </c>
      <c r="Z14" s="52">
        <f>'[1]ICNC Financial Position'!P11-'[1]ICNC Financial Position'!Q11</f>
        <v>0</v>
      </c>
      <c r="AA14" s="52">
        <f t="shared" si="1"/>
        <v>43295.1</v>
      </c>
      <c r="AB14" s="52">
        <f t="shared" si="2"/>
        <v>30266</v>
      </c>
      <c r="AC14" s="52">
        <f>'[1]ICNC Interim Financial Position'!Q12-'[1]ICNC Interim Financial Position'!S12</f>
        <v>-29423.060000000005</v>
      </c>
      <c r="AD14" s="52">
        <f>'[1]ICNC Financial Position'!Q12-'[1]ICNC Financial Position'!S12</f>
        <v>726.83250000000407</v>
      </c>
      <c r="AE14" s="52">
        <f t="shared" si="6"/>
        <v>13872.039999999994</v>
      </c>
      <c r="AF14" s="52">
        <f>'[1]ICNC Financial Position'!J12-'[1]ICNC Financial Position'!S12</f>
        <v>30992.832500000004</v>
      </c>
      <c r="AG14" s="52">
        <f>'[1]ICNC Interim Financial Position'!S12-'[1]ICNC Interim Financial Position'!U12</f>
        <v>-11165.289999999994</v>
      </c>
      <c r="AH14" s="52">
        <f>'[1]ICNC Interim Financial Position'!S12-'[1]ICNC Interim Financial Position'!V12</f>
        <v>-11106.039999999994</v>
      </c>
      <c r="AI14" s="52">
        <f>'[1]ICNC Interim Financial Position'!V12-'[1]ICNC Interim Financial Position'!W12</f>
        <v>40500</v>
      </c>
      <c r="AJ14" s="52">
        <f>'[1]ICNC Interim Financial Position'!W12-'[1]ICNC Interim Financial Position'!X12</f>
        <v>27000</v>
      </c>
      <c r="AK14" s="52">
        <f>'[1]ICNC Interim Financial Position'!X12-'[1]ICNC Interim Financial Position'!Y12</f>
        <v>0</v>
      </c>
      <c r="AL14" s="52">
        <f>'[1]ICNC Interim Financial Position'!S12-'[1]ICNC Interim Financial Position'!Y12</f>
        <v>56393.960000000006</v>
      </c>
      <c r="AM14" s="52">
        <f>'[1]ICNC Financial Position'!S12-'[1]ICNC Financial Position'!U12</f>
        <v>-6715.3300874999986</v>
      </c>
      <c r="AN14" s="52">
        <f>'[1]ICNC Financial Position'!U12-'[1]ICNC Financial Position'!V12</f>
        <v>-1867.29522800626</v>
      </c>
      <c r="AO14" s="94">
        <f>'[1]ICNC Financial Position'!V12-'[1]ICNC Financial Position'!W12</f>
        <v>-1863.6687866534921</v>
      </c>
    </row>
    <row r="15" spans="1:41" ht="12" x14ac:dyDescent="0.2">
      <c r="A15" s="47"/>
      <c r="B15" s="53"/>
      <c r="C15" s="53" t="s">
        <v>203</v>
      </c>
      <c r="D15" s="53"/>
      <c r="E15" s="52"/>
      <c r="F15" s="52"/>
      <c r="G15" s="52"/>
      <c r="H15" s="52">
        <f>'[1]ICNC Financial Position'!D13-'[1]ICNC Financial Position'!E13</f>
        <v>-27209.290000000008</v>
      </c>
      <c r="I15" s="52"/>
      <c r="J15" s="52">
        <f>'[1]ICNC Financial Position'!E13-'[1]ICNC Financial Position'!G13</f>
        <v>32268.649999999994</v>
      </c>
      <c r="K15" s="52">
        <f>'[1]ICNC Financial Position'!G13-'[1]ICNC Financial Position'!H13</f>
        <v>1660.6700000000128</v>
      </c>
      <c r="L15" s="52">
        <f>'[1]ICNC Financial Position'!H13-'[1]ICNC Financial Position'!I13</f>
        <v>37065.949999999997</v>
      </c>
      <c r="M15" s="52">
        <f t="shared" si="3"/>
        <v>-39921.270000000004</v>
      </c>
      <c r="N15" s="52">
        <f t="shared" si="0"/>
        <v>33929.320000000007</v>
      </c>
      <c r="O15" s="52">
        <f t="shared" si="4"/>
        <v>70995.27</v>
      </c>
      <c r="P15" s="52">
        <f>'[1]ICNC Financial Position'!E13-'[1]ICNC Financial Position'!K13</f>
        <v>33929.320000000007</v>
      </c>
      <c r="Q15" s="52">
        <v>31074</v>
      </c>
      <c r="R15" s="52">
        <f>'[1]ICNC Financial Position'!E13-'[1]ICNC Financial Position'!L13</f>
        <v>33929.320000000007</v>
      </c>
      <c r="S15" s="52">
        <f>'[1]ICNC Financial Position'!J13-'[1]ICNC Financial Position'!M13</f>
        <v>57705.219999999994</v>
      </c>
      <c r="T15" s="52">
        <f>'[1]ICNC Financial Position'!J13-'[1]ICNC Financial Position'!N13</f>
        <v>-2917</v>
      </c>
      <c r="U15" s="52">
        <f>'[1]ICNC Financial Position'!M13-'[1]ICNC Financial Position'!O13-28832</f>
        <v>-27004.87999999999</v>
      </c>
      <c r="V15" s="52">
        <f>'[1]ICNC Financial Position'!N13-'[1]ICNC Financial Position'!P13</f>
        <v>0</v>
      </c>
      <c r="W15" s="52">
        <f t="shared" si="5"/>
        <v>30700.340000000004</v>
      </c>
      <c r="X15" s="52">
        <f>V15+T15</f>
        <v>-2917</v>
      </c>
      <c r="Y15" s="52">
        <f>'[1]ICNC Interim Financial Position'!O13-'[1]ICNC Interim Financial Position'!Q13+100</f>
        <v>19248.689999999995</v>
      </c>
      <c r="Z15" s="52">
        <f>'[1]ICNC Financial Position'!P13-'[1]ICNC Financial Position'!Q13</f>
        <v>0</v>
      </c>
      <c r="AA15" s="52">
        <f t="shared" si="1"/>
        <v>49949.03</v>
      </c>
      <c r="AB15" s="52">
        <f t="shared" si="2"/>
        <v>-2917</v>
      </c>
      <c r="AC15" s="52">
        <f>'[1]ICNC Interim Financial Position'!Q13-'[1]ICNC Interim Financial Position'!S13</f>
        <v>-40015.649999999994</v>
      </c>
      <c r="AD15" s="52">
        <f>'[1]ICNC Financial Position'!Q13-'[1]ICNC Financial Position'!S13</f>
        <v>6389.8874999999971</v>
      </c>
      <c r="AE15" s="52">
        <f t="shared" si="6"/>
        <v>9933.3800000000047</v>
      </c>
      <c r="AF15" s="52">
        <f>'[1]ICNC Financial Position'!J13-'[1]ICNC Financial Position'!S13</f>
        <v>3472.8874999999971</v>
      </c>
      <c r="AG15" s="52">
        <f>'[1]ICNC Interim Financial Position'!S13-'[1]ICNC Interim Financial Position'!U13</f>
        <v>12574.419999999984</v>
      </c>
      <c r="AH15" s="52">
        <f>'[1]ICNC Interim Financial Position'!S13-'[1]ICNC Interim Financial Position'!V13</f>
        <v>-41582.380000000005</v>
      </c>
      <c r="AI15" s="52">
        <f>'[1]ICNC Interim Financial Position'!V13-'[1]ICNC Interim Financial Position'!W13</f>
        <v>0</v>
      </c>
      <c r="AJ15" s="52">
        <f>'[1]ICNC Interim Financial Position'!W13-'[1]ICNC Interim Financial Position'!X13</f>
        <v>0</v>
      </c>
      <c r="AK15" s="52">
        <f>'[1]ICNC Interim Financial Position'!X13-'[1]ICNC Interim Financial Position'!Y13</f>
        <v>0</v>
      </c>
      <c r="AL15" s="52">
        <f>'[1]ICNC Interim Financial Position'!S13-'[1]ICNC Interim Financial Position'!Y13</f>
        <v>-41582.380000000005</v>
      </c>
      <c r="AM15" s="52">
        <f>'[1]ICNC Financial Position'!S13-'[1]ICNC Financial Position'!U13</f>
        <v>-8474.0580687180191</v>
      </c>
      <c r="AN15" s="52">
        <f>'[1]ICNC Financial Position'!U13-'[1]ICNC Financial Position'!V13</f>
        <v>-3423.6324777501868</v>
      </c>
      <c r="AO15" s="94">
        <f>'[1]ICNC Financial Position'!V13-'[1]ICNC Financial Position'!W13</f>
        <v>-3521.989664980676</v>
      </c>
    </row>
    <row r="16" spans="1:41" ht="12" hidden="1" x14ac:dyDescent="0.2">
      <c r="A16" s="47"/>
      <c r="B16" s="53"/>
      <c r="C16" s="53" t="s">
        <v>220</v>
      </c>
      <c r="D16" s="53"/>
      <c r="E16" s="52">
        <v>-55110</v>
      </c>
      <c r="F16" s="52">
        <v>-85575</v>
      </c>
      <c r="G16" s="52">
        <v>-116268</v>
      </c>
      <c r="H16" s="52">
        <f>'[1]Trial Balances'!H31-'[1]Trial Balances'!C31</f>
        <v>0</v>
      </c>
      <c r="I16" s="52">
        <v>-92042</v>
      </c>
      <c r="J16" s="52">
        <v>0</v>
      </c>
      <c r="K16" s="52"/>
      <c r="L16" s="52"/>
      <c r="M16" s="52">
        <f t="shared" si="3"/>
        <v>0</v>
      </c>
      <c r="N16" s="52">
        <f t="shared" si="0"/>
        <v>0</v>
      </c>
      <c r="O16" s="52">
        <f t="shared" si="4"/>
        <v>0</v>
      </c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>
        <f t="shared" si="1"/>
        <v>0</v>
      </c>
      <c r="AB16" s="52">
        <f t="shared" si="2"/>
        <v>0</v>
      </c>
      <c r="AC16" s="52"/>
      <c r="AD16" s="52"/>
      <c r="AE16" s="52">
        <f t="shared" si="6"/>
        <v>0</v>
      </c>
      <c r="AF16" s="52"/>
      <c r="AG16" s="52"/>
      <c r="AH16" s="52"/>
      <c r="AI16" s="52"/>
      <c r="AJ16" s="52"/>
      <c r="AK16" s="52"/>
      <c r="AL16" s="52"/>
      <c r="AM16" s="52"/>
      <c r="AN16" s="52"/>
      <c r="AO16" s="94"/>
    </row>
    <row r="17" spans="1:41" ht="12" x14ac:dyDescent="0.2">
      <c r="A17" s="47"/>
      <c r="B17" s="53"/>
      <c r="C17" s="53" t="s">
        <v>177</v>
      </c>
      <c r="D17" s="53"/>
      <c r="E17" s="52">
        <v>-34551</v>
      </c>
      <c r="F17" s="52">
        <v>-2924</v>
      </c>
      <c r="G17" s="52">
        <v>112985</v>
      </c>
      <c r="H17" s="52">
        <f>'[1]ICNC Financial Position'!E21-'[1]ICNC Financial Position'!D21</f>
        <v>133715.6</v>
      </c>
      <c r="I17" s="52">
        <v>-41867</v>
      </c>
      <c r="J17" s="52">
        <f>'[1]ICNC Financial Position'!G21-'[1]ICNC Financial Position'!E21</f>
        <v>191179.18000000002</v>
      </c>
      <c r="K17" s="52">
        <f>SUM('[1]Trial Balances'!M46:M47)-SUM('[1]Trial Balances'!R40:R41)</f>
        <v>-171317.42000000004</v>
      </c>
      <c r="L17" s="52">
        <f>'[1]ICNC Financial Position'!I21-'[1]ICNC Financial Position'!H21</f>
        <v>-106068.52999999997</v>
      </c>
      <c r="M17" s="52">
        <f t="shared" si="3"/>
        <v>8008.7699999999895</v>
      </c>
      <c r="N17" s="52">
        <f t="shared" si="0"/>
        <v>19861.75999999998</v>
      </c>
      <c r="O17" s="52">
        <f t="shared" si="4"/>
        <v>-86206.76999999999</v>
      </c>
      <c r="P17" s="52">
        <f>'[1]ICNC Financial Position'!K21-'[1]ICNC Financial Position'!E21</f>
        <v>-182334.6</v>
      </c>
      <c r="Q17" s="52">
        <f>'[1]ICNC Financial Position'!J21-'[1]ICNC Financial Position'!F21</f>
        <v>-78198</v>
      </c>
      <c r="R17" s="52">
        <f>'[1]ICNC Financial Position'!L21-'[1]ICNC Financial Position'!E21</f>
        <v>-182334.6</v>
      </c>
      <c r="S17" s="52">
        <f>'[1]ICNC Financial Position'!M21-'[1]ICNC Financial Position'!J21</f>
        <v>-20488.580000000002</v>
      </c>
      <c r="T17" s="52">
        <f>'[1]ICNC Financial Position'!N21-'[1]ICNC Financial Position'!J21</f>
        <v>1248.9250000000029</v>
      </c>
      <c r="U17" s="52">
        <f>'[1]ICNC Financial Position'!O21-'[1]ICNC Financial Position'!M21</f>
        <v>-1272.9799999999959</v>
      </c>
      <c r="V17" s="52">
        <f>'[1]ICNC Financial Position'!P21-'[1]ICNC Financial Position'!N21</f>
        <v>0</v>
      </c>
      <c r="W17" s="52">
        <f t="shared" ref="W17:W21" si="7">U17+S17</f>
        <v>-21761.559999999998</v>
      </c>
      <c r="X17" s="52">
        <f>V17+T17</f>
        <v>1248.9250000000029</v>
      </c>
      <c r="Y17" s="52">
        <f>'[1]ICNC Interim Financial Position'!Q21-'[1]ICNC Interim Financial Position'!O21</f>
        <v>6174.5199999999895</v>
      </c>
      <c r="Z17" s="52">
        <f>'[1]ICNC Financial Position'!Q21-'[1]ICNC Financial Position'!P21</f>
        <v>0</v>
      </c>
      <c r="AA17" s="52">
        <f t="shared" si="1"/>
        <v>-15587.040000000008</v>
      </c>
      <c r="AB17" s="52">
        <f t="shared" si="2"/>
        <v>1248.9250000000029</v>
      </c>
      <c r="AC17" s="52">
        <f>'[1]ICNC Interim Financial Position'!S21-'[1]ICNC Interim Financial Position'!Q21</f>
        <v>60352.680000000022</v>
      </c>
      <c r="AD17" s="52">
        <f>'[1]ICNC Financial Position'!S21-'[1]ICNC Financial Position'!Q21</f>
        <v>0</v>
      </c>
      <c r="AE17" s="52">
        <f t="shared" si="6"/>
        <v>44765.640000000014</v>
      </c>
      <c r="AF17" s="52">
        <f>'[1]ICNC Financial Position'!S21-'[1]ICNC Financial Position'!J21</f>
        <v>1248.9250000000029</v>
      </c>
      <c r="AG17" s="52">
        <f>'[1]ICNC Interim Financial Position'!U21-'[1]ICNC Interim Financial Position'!S21</f>
        <v>8936.9499999999825</v>
      </c>
      <c r="AH17" s="52">
        <f>'[1]ICNC Interim Financial Position'!V21-'[1]ICNC Interim Financial Position'!S21</f>
        <v>-40913.640000000014</v>
      </c>
      <c r="AI17" s="52">
        <f>'[1]ICNC Interim Financial Position'!W21-'[1]ICNC Interim Financial Position'!V21</f>
        <v>0</v>
      </c>
      <c r="AJ17" s="52">
        <f>'[1]ICNC Interim Financial Position'!X21-'[1]ICNC Interim Financial Position'!W21</f>
        <v>0</v>
      </c>
      <c r="AK17" s="52">
        <f>'[1]ICNC Interim Financial Position'!Y21-'[1]ICNC Interim Financial Position'!X21</f>
        <v>0</v>
      </c>
      <c r="AL17" s="52">
        <f>'[1]ICNC Interim Financial Position'!Y21-'[1]ICNC Interim Financial Position'!S21</f>
        <v>-40913.640000000014</v>
      </c>
      <c r="AM17" s="52">
        <f>'[1]ICNC Financial Position'!U21-'[1]ICNC Financial Position'!S21</f>
        <v>6244.0427874764428</v>
      </c>
      <c r="AN17" s="52">
        <f>'[1]ICNC Financial Position'!V21-'[1]ICNC Financial Position'!U21</f>
        <v>2522.6765625527623</v>
      </c>
      <c r="AO17" s="94">
        <f>'[1]ICNC Financial Position'!W21-'[1]ICNC Financial Position'!V21</f>
        <v>2595.1502794594562</v>
      </c>
    </row>
    <row r="18" spans="1:41" ht="12" x14ac:dyDescent="0.2">
      <c r="A18" s="47"/>
      <c r="B18" s="53"/>
      <c r="C18" s="53" t="s">
        <v>180</v>
      </c>
      <c r="D18" s="53"/>
      <c r="E18" s="52">
        <v>-178280</v>
      </c>
      <c r="F18" s="52">
        <v>129134</v>
      </c>
      <c r="G18" s="52">
        <v>-3408</v>
      </c>
      <c r="H18" s="52">
        <f>'[1]ICNC Financial Position'!E22-'[1]ICNC Financial Position'!D22</f>
        <v>-599.73999999999796</v>
      </c>
      <c r="I18" s="52">
        <v>83282</v>
      </c>
      <c r="J18" s="52">
        <f>'[1]ICNC Financial Position'!G22-'[1]ICNC Financial Position'!E22</f>
        <v>0</v>
      </c>
      <c r="K18" s="52">
        <f>'[1]ICNC Financial Position'!H22-'[1]ICNC Financial Position'!G22</f>
        <v>0</v>
      </c>
      <c r="L18" s="52">
        <f>'[1]ICNC Financial Position'!I22-'[1]ICNC Financial Position'!H22</f>
        <v>0</v>
      </c>
      <c r="M18" s="52">
        <f t="shared" si="3"/>
        <v>8232</v>
      </c>
      <c r="N18" s="52">
        <f t="shared" si="0"/>
        <v>0</v>
      </c>
      <c r="O18" s="52">
        <f t="shared" si="4"/>
        <v>0</v>
      </c>
      <c r="P18" s="52">
        <f>'[1]ICNC Financial Position'!K22-'[1]ICNC Financial Position'!E22</f>
        <v>238.43000000000029</v>
      </c>
      <c r="Q18" s="52">
        <f>'[1]ICNC Financial Position'!J22-'[1]ICNC Financial Position'!F22</f>
        <v>8232</v>
      </c>
      <c r="R18" s="52">
        <f>'[1]ICNC Financial Position'!L22-'[1]ICNC Financial Position'!E22</f>
        <v>238.43000000000029</v>
      </c>
      <c r="S18" s="52">
        <f>'[1]ICNC Financial Position'!M22-'[1]ICNC Financial Position'!J22</f>
        <v>-0.47000000000116415</v>
      </c>
      <c r="T18" s="52">
        <f>'[1]ICNC Financial Position'!N22-'[1]ICNC Financial Position'!J22</f>
        <v>-7710.1750000000029</v>
      </c>
      <c r="U18" s="52">
        <f>'[1]ICNC Financial Position'!O22-'[1]ICNC Financial Position'!M22</f>
        <v>-13705.989999999998</v>
      </c>
      <c r="V18" s="52">
        <f>'[1]ICNC Financial Position'!P22-'[1]ICNC Financial Position'!N22</f>
        <v>0</v>
      </c>
      <c r="W18" s="52">
        <f t="shared" si="7"/>
        <v>-13706.46</v>
      </c>
      <c r="X18" s="52">
        <f>V18+T18</f>
        <v>-7710.1750000000029</v>
      </c>
      <c r="Y18" s="52">
        <f>'[1]ICNC Interim Financial Position'!Q22-'[1]ICNC Interim Financial Position'!O22</f>
        <v>9.9999999983992893E-3</v>
      </c>
      <c r="Z18" s="52">
        <f>'[1]ICNC Financial Position'!Q22-'[1]ICNC Financial Position'!P22</f>
        <v>0</v>
      </c>
      <c r="AA18" s="52">
        <f t="shared" si="1"/>
        <v>-13706.45</v>
      </c>
      <c r="AB18" s="52">
        <f t="shared" si="2"/>
        <v>-7710.1750000000029</v>
      </c>
      <c r="AC18" s="52">
        <f>'[1]ICNC Interim Financial Position'!S22-'[1]ICNC Interim Financial Position'!Q22</f>
        <v>0</v>
      </c>
      <c r="AD18" s="52">
        <f>'[1]ICNC Financial Position'!S22-'[1]ICNC Financial Position'!Q22</f>
        <v>0</v>
      </c>
      <c r="AE18" s="52">
        <f t="shared" si="6"/>
        <v>-13706.45</v>
      </c>
      <c r="AF18" s="52">
        <f>'[1]ICNC Financial Position'!S22-'[1]ICNC Financial Position'!J22</f>
        <v>-7710.1750000000029</v>
      </c>
      <c r="AG18" s="52">
        <f>'[1]ICNC Interim Financial Position'!U22-'[1]ICNC Interim Financial Position'!S22</f>
        <v>0.11000000000058208</v>
      </c>
      <c r="AH18" s="52">
        <f>'[1]ICNC Interim Financial Position'!V22-'[1]ICNC Interim Financial Position'!S22</f>
        <v>7540.4500000000007</v>
      </c>
      <c r="AI18" s="52">
        <f>'[1]ICNC Interim Financial Position'!W22-'[1]ICNC Interim Financial Position'!V22</f>
        <v>0</v>
      </c>
      <c r="AJ18" s="52">
        <f>'[1]ICNC Interim Financial Position'!X22-'[1]ICNC Interim Financial Position'!W22</f>
        <v>0</v>
      </c>
      <c r="AK18" s="52">
        <f>'[1]ICNC Interim Financial Position'!Y22-'[1]ICNC Interim Financial Position'!X22</f>
        <v>0</v>
      </c>
      <c r="AL18" s="52">
        <f>'[1]ICNC Interim Financial Position'!Y22-'[1]ICNC Interim Financial Position'!S22</f>
        <v>7540.4500000000007</v>
      </c>
      <c r="AM18" s="52">
        <f>'[1]ICNC Financial Position'!U22-'[1]ICNC Financial Position'!S22</f>
        <v>2676.0183374899061</v>
      </c>
      <c r="AN18" s="52">
        <f>'[1]ICNC Financial Position'!V22-'[1]ICNC Financial Position'!U22</f>
        <v>1081.1470982368992</v>
      </c>
      <c r="AO18" s="94">
        <f>'[1]ICNC Financial Position'!W22-'[1]ICNC Financial Position'!V22</f>
        <v>1112.207262625474</v>
      </c>
    </row>
    <row r="19" spans="1:41" ht="12" x14ac:dyDescent="0.2">
      <c r="A19" s="47"/>
      <c r="B19" s="53"/>
      <c r="C19" s="53" t="s">
        <v>179</v>
      </c>
      <c r="D19" s="53"/>
      <c r="E19" s="52">
        <v>19000</v>
      </c>
      <c r="F19" s="52">
        <v>69000</v>
      </c>
      <c r="G19" s="52">
        <v>3000</v>
      </c>
      <c r="H19" s="52">
        <f>'[1]ICNC Financial Position'!E23-'[1]ICNC Financial Position'!D23</f>
        <v>-8668.4500000000116</v>
      </c>
      <c r="I19" s="52">
        <v>9000</v>
      </c>
      <c r="J19" s="52">
        <f>'[1]ICNC Financial Position'!G23-'[1]ICNC Financial Position'!E23</f>
        <v>-112218.57999999999</v>
      </c>
      <c r="K19" s="52">
        <f>'[1]ICNC Financial Position'!H23-'[1]ICNC Financial Position'!G23</f>
        <v>80743.439999999973</v>
      </c>
      <c r="L19" s="52">
        <f>'[1]ICNC Financial Position'!I23-'[1]ICNC Financial Position'!H23</f>
        <v>-83343.399999999965</v>
      </c>
      <c r="M19" s="52">
        <f t="shared" si="3"/>
        <v>117818.53999999998</v>
      </c>
      <c r="N19" s="52">
        <f t="shared" si="0"/>
        <v>-31475.140000000014</v>
      </c>
      <c r="O19" s="52">
        <f t="shared" si="4"/>
        <v>-114818.53999999998</v>
      </c>
      <c r="P19" s="52">
        <f>'[1]ICNC Financial Position'!K23-'[1]ICNC Financial Position'!E23</f>
        <v>-22331.549999999988</v>
      </c>
      <c r="Q19" s="52">
        <f>'[1]ICNC Financial Position'!J23-'[1]ICNC Financial Position'!F23</f>
        <v>3000</v>
      </c>
      <c r="R19" s="52">
        <f>'[1]ICNC Financial Position'!L23-'[1]ICNC Financial Position'!E23</f>
        <v>-22331.549999999988</v>
      </c>
      <c r="S19" s="52">
        <f>'[1]ICNC Financial Position'!M23-'[1]ICNC Financial Position'!J23</f>
        <v>-107587.32</v>
      </c>
      <c r="T19" s="52">
        <f>'[1]ICNC Financial Position'!N23-'[1]ICNC Financial Position'!J23</f>
        <v>-144662</v>
      </c>
      <c r="U19" s="52">
        <f>'[1]ICNC Financial Position'!O23-'[1]ICNC Financial Position'!M23</f>
        <v>84999</v>
      </c>
      <c r="V19" s="52">
        <f>'[1]ICNC Financial Position'!P23-'[1]ICNC Financial Position'!N23</f>
        <v>119594.56849999999</v>
      </c>
      <c r="W19" s="52">
        <f t="shared" si="7"/>
        <v>-22588.320000000007</v>
      </c>
      <c r="X19" s="52">
        <f>V19+T19</f>
        <v>-25067.431500000006</v>
      </c>
      <c r="Y19" s="52">
        <f>'[1]ICNC Interim Financial Position'!Q23-'[1]ICNC Interim Financial Position'!O23</f>
        <v>-112706.35</v>
      </c>
      <c r="Z19" s="52">
        <f>'[1]ICNC Financial Position'!Q23-'[1]ICNC Financial Position'!P23</f>
        <v>-119594.56849999999</v>
      </c>
      <c r="AA19" s="52">
        <f t="shared" si="1"/>
        <v>-135294.67000000001</v>
      </c>
      <c r="AB19" s="52">
        <f t="shared" si="2"/>
        <v>-144662</v>
      </c>
      <c r="AC19" s="52">
        <f>'[1]ICNC Interim Financial Position'!S23-'[1]ICNC Interim Financial Position'!Q23</f>
        <v>84999.000000000029</v>
      </c>
      <c r="AD19" s="52">
        <f>'[1]ICNC Financial Position'!S23-'[1]ICNC Financial Position'!Q23</f>
        <v>119594.56849999999</v>
      </c>
      <c r="AE19" s="52">
        <f t="shared" si="6"/>
        <v>-50295.669999999984</v>
      </c>
      <c r="AF19" s="52">
        <f>'[1]ICNC Financial Position'!S23-'[1]ICNC Financial Position'!J23</f>
        <v>-25067.431500000006</v>
      </c>
      <c r="AG19" s="52">
        <f>'[1]ICNC Interim Financial Position'!U23-'[1]ICNC Interim Financial Position'!S23</f>
        <v>-126365.90000000002</v>
      </c>
      <c r="AH19" s="52">
        <f>'[1]ICNC Interim Financial Position'!V23-'[1]ICNC Interim Financial Position'!S23</f>
        <v>25295.669999999984</v>
      </c>
      <c r="AI19" s="52">
        <f>'[1]ICNC Interim Financial Position'!W23-'[1]ICNC Interim Financial Position'!V23</f>
        <v>10000</v>
      </c>
      <c r="AJ19" s="52">
        <f>'[1]ICNC Interim Financial Position'!X23-'[1]ICNC Interim Financial Position'!W23</f>
        <v>15000</v>
      </c>
      <c r="AK19" s="52">
        <f>'[1]ICNC Interim Financial Position'!Y23-'[1]ICNC Interim Financial Position'!X23</f>
        <v>23000</v>
      </c>
      <c r="AL19" s="52">
        <f>'[1]ICNC Interim Financial Position'!Y23-'[1]ICNC Interim Financial Position'!S23</f>
        <v>73295.669999999984</v>
      </c>
      <c r="AM19" s="52">
        <f>'[1]ICNC Financial Position'!U23-'[1]ICNC Financial Position'!S23</f>
        <v>48719.477055000025</v>
      </c>
      <c r="AN19" s="52">
        <f>'[1]ICNC Financial Position'!V23-'[1]ICNC Financial Position'!U23</f>
        <v>11959.561366649985</v>
      </c>
      <c r="AO19" s="94">
        <f>'[1]ICNC Financial Position'!W23-'[1]ICNC Financial Position'!V23</f>
        <v>12318.348207649542</v>
      </c>
    </row>
    <row r="20" spans="1:41" ht="12" x14ac:dyDescent="0.2">
      <c r="A20" s="47"/>
      <c r="B20" s="53"/>
      <c r="C20" s="53" t="s">
        <v>221</v>
      </c>
      <c r="D20" s="53"/>
      <c r="E20" s="52">
        <v>7046</v>
      </c>
      <c r="F20" s="52">
        <v>119331</v>
      </c>
      <c r="G20" s="52">
        <v>-159670</v>
      </c>
      <c r="H20" s="52">
        <f>'[1]ICNC Financial Position'!E24-'[1]ICNC Financial Position'!D24</f>
        <v>297049.64</v>
      </c>
      <c r="I20" s="52">
        <v>406749</v>
      </c>
      <c r="J20" s="52">
        <f>'[1]ICNC Financial Position'!G24-'[1]ICNC Financial Position'!E24</f>
        <v>156549.83999999997</v>
      </c>
      <c r="K20" s="52">
        <f>'[1]ICNC Financial Position'!H24-'[1]ICNC Financial Position'!G24</f>
        <v>-54649.120000000112</v>
      </c>
      <c r="L20" s="52">
        <f>'[1]ICNC Financial Position'!I24-'[1]ICNC Financial Position'!H24</f>
        <v>-29486.059999999823</v>
      </c>
      <c r="M20" s="52">
        <f t="shared" si="3"/>
        <v>11183.339999999967</v>
      </c>
      <c r="N20" s="52">
        <f t="shared" si="0"/>
        <v>101900.71999999986</v>
      </c>
      <c r="O20" s="52">
        <f t="shared" si="4"/>
        <v>72414.660000000033</v>
      </c>
      <c r="P20" s="52">
        <f>'[1]ICNC Financial Position'!K24-'[1]ICNC Financial Position'!E24</f>
        <v>-28997.840000000084</v>
      </c>
      <c r="Q20" s="52">
        <f>'[1]ICNC Financial Position'!J24-'[1]ICNC Financial Position'!F24</f>
        <v>83598</v>
      </c>
      <c r="R20" s="52">
        <f>'[1]ICNC Financial Position'!L24-'[1]ICNC Financial Position'!E24</f>
        <v>-28997.840000000084</v>
      </c>
      <c r="S20" s="52">
        <f>'[1]ICNC Financial Position'!M24-'[1]ICNC Financial Position'!J24</f>
        <v>-45571.25</v>
      </c>
      <c r="T20" s="52">
        <f>'[1]ICNC Financial Position'!N24-'[1]ICNC Financial Position'!J24</f>
        <v>0</v>
      </c>
      <c r="U20" s="52">
        <f>'[1]ICNC Financial Position'!O24-'[1]ICNC Financial Position'!M24</f>
        <v>-351373</v>
      </c>
      <c r="V20" s="52">
        <f>'[1]ICNC Financial Position'!P24-'[1]ICNC Financial Position'!N24</f>
        <v>-425000</v>
      </c>
      <c r="W20" s="52">
        <f t="shared" si="7"/>
        <v>-396944.25</v>
      </c>
      <c r="X20" s="52">
        <f>V20+T20</f>
        <v>-425000</v>
      </c>
      <c r="Y20" s="52">
        <f>'[1]ICNC Interim Financial Position'!Q24-'[1]ICNC Interim Financial Position'!O24</f>
        <v>-120283.49000000008</v>
      </c>
      <c r="Z20" s="52">
        <f>'[1]ICNC Financial Position'!Q24-'[1]ICNC Financial Position'!P24</f>
        <v>0</v>
      </c>
      <c r="AA20" s="52">
        <f t="shared" si="1"/>
        <v>-517227.74000000011</v>
      </c>
      <c r="AB20" s="52">
        <f t="shared" si="2"/>
        <v>-425000</v>
      </c>
      <c r="AC20" s="52">
        <f>'[1]ICNC Interim Financial Position'!S24-'[1]ICNC Interim Financial Position'!Q24</f>
        <v>35130.620000000112</v>
      </c>
      <c r="AD20" s="52">
        <f>'[1]ICNC Financial Position'!S24-'[1]ICNC Financial Position'!Q24</f>
        <v>0</v>
      </c>
      <c r="AE20" s="52">
        <f t="shared" si="6"/>
        <v>-482097.12</v>
      </c>
      <c r="AF20" s="52">
        <f>'[1]ICNC Financial Position'!S24-'[1]ICNC Financial Position'!J24+'[1]ICNC Financial Position'!S14-'[1]ICNC Financial Position'!U14</f>
        <v>-425000</v>
      </c>
      <c r="AG20" s="52">
        <f>'[1]ICNC Interim Financial Position'!U24-'[1]ICNC Interim Financial Position'!S24</f>
        <v>-8722.1700000001001</v>
      </c>
      <c r="AH20" s="52">
        <f>'[1]ICNC Interim Financial Position'!V24-'[1]ICNC Interim Financial Position'!S24</f>
        <v>-88882.880000000063</v>
      </c>
      <c r="AI20" s="52">
        <f>'[1]ICNC Interim Financial Position'!W24-'[1]ICNC Interim Financial Position'!V24+'[1]ICNC Interim Financial Position'!V14-'[1]ICNC Interim Financial Position'!W14</f>
        <v>0</v>
      </c>
      <c r="AJ20" s="52">
        <f>'[1]ICNC Interim Financial Position'!X24-'[1]ICNC Interim Financial Position'!W24+'[1]ICNC Interim Financial Position'!W14-'[1]ICNC Interim Financial Position'!X14</f>
        <v>-100000</v>
      </c>
      <c r="AK20" s="52">
        <f>'[1]ICNC Interim Financial Position'!Y24-'[1]ICNC Interim Financial Position'!X24+'[1]ICNC Interim Financial Position'!X14-'[1]ICNC Interim Financial Position'!Y14</f>
        <v>-200000</v>
      </c>
      <c r="AL20" s="52">
        <f>AH20+AI20+AJ20+AK20</f>
        <v>-388882.88000000006</v>
      </c>
      <c r="AM20" s="52">
        <f>'[1]ICNC Financial Position'!U24-'[1]ICNC Financial Position'!S24+'[1]ICNC Financial Position'!S14-'[1]ICNC Financial Position'!U14</f>
        <v>-100000</v>
      </c>
      <c r="AN20" s="52">
        <f>'[1]ICNC Financial Position'!V24-'[1]ICNC Financial Position'!U24+'[1]ICNC Financial Position'!U14-'[1]ICNC Financial Position'!V14</f>
        <v>-43224.27</v>
      </c>
      <c r="AO20" s="94">
        <f>'[1]ICNC Financial Position'!W24-'[1]ICNC Financial Position'!V24+'[1]ICNC Financial Position'!V14-'[1]ICNC Financial Position'!W14</f>
        <v>-55000</v>
      </c>
    </row>
    <row r="21" spans="1:41" ht="12" x14ac:dyDescent="0.2">
      <c r="A21" s="47"/>
      <c r="B21" s="53"/>
      <c r="C21" s="53" t="s">
        <v>181</v>
      </c>
      <c r="D21" s="53"/>
      <c r="E21" s="52">
        <v>31034</v>
      </c>
      <c r="F21" s="52">
        <v>36598</v>
      </c>
      <c r="G21" s="52">
        <v>-13902</v>
      </c>
      <c r="H21" s="52">
        <f>'[1]ICNC Financial Position'!E26-'[1]ICNC Financial Position'!D26</f>
        <v>-24207.969999999972</v>
      </c>
      <c r="I21" s="52">
        <v>-24208</v>
      </c>
      <c r="J21" s="52">
        <f>'[1]ICNC Financial Position'!G26-'[1]ICNC Financial Position'!E26</f>
        <v>321.88000000000466</v>
      </c>
      <c r="K21" s="52">
        <f>'[1]ICNC Financial Position'!H26-'[1]ICNC Financial Position'!G26</f>
        <v>-13362.97000000003</v>
      </c>
      <c r="L21" s="52">
        <f>'[1]ICNC Financial Position'!I26-'[1]ICNC Financial Position'!H26</f>
        <v>5223.8399999999965</v>
      </c>
      <c r="M21" s="52">
        <f t="shared" si="3"/>
        <v>25240.250000000029</v>
      </c>
      <c r="N21" s="52">
        <f t="shared" si="0"/>
        <v>-13041.090000000026</v>
      </c>
      <c r="O21" s="52">
        <f t="shared" si="4"/>
        <v>-7817.2500000000291</v>
      </c>
      <c r="P21" s="52">
        <f>'[1]ICNC Financial Position'!K26-'[1]ICNC Financial Position'!E26</f>
        <v>26052.969999999972</v>
      </c>
      <c r="Q21" s="52">
        <f>'[1]ICNC Financial Position'!J26-'[1]ICNC Financial Position'!F26</f>
        <v>17423</v>
      </c>
      <c r="R21" s="52">
        <f>'[1]ICNC Financial Position'!L26-'[1]ICNC Financial Position'!E26</f>
        <v>26052.969999999972</v>
      </c>
      <c r="S21" s="52">
        <f>'[1]ICNC Financial Position'!M26-'[1]ICNC Financial Position'!J26</f>
        <v>8130.039999999979</v>
      </c>
      <c r="T21" s="52">
        <f>'[1]ICNC Financial Position'!N26-'[1]ICNC Financial Position'!J26</f>
        <v>0</v>
      </c>
      <c r="U21" s="52">
        <f>'[1]ICNC Interim Financial Position'!O26-'[1]ICNC Interim Financial Position'!M26</f>
        <v>-740.02999999996973</v>
      </c>
      <c r="V21" s="52">
        <f>'[1]ICNC Financial Position'!P26-'[1]ICNC Financial Position'!N26</f>
        <v>0</v>
      </c>
      <c r="W21" s="52">
        <f t="shared" si="7"/>
        <v>7390.0100000000093</v>
      </c>
      <c r="X21" s="52">
        <f>V21+T21</f>
        <v>0</v>
      </c>
      <c r="Y21" s="52">
        <f>'[1]ICNC Interim Financial Position'!Q26-'[1]ICNC Interim Financial Position'!O26</f>
        <v>2506.3999999999651</v>
      </c>
      <c r="Z21" s="52">
        <f>'[1]ICNC Financial Position'!Q26-'[1]ICNC Financial Position'!P26</f>
        <v>-10307.080000000016</v>
      </c>
      <c r="AA21" s="52">
        <f t="shared" si="1"/>
        <v>9896.4099999999744</v>
      </c>
      <c r="AB21" s="52">
        <f t="shared" si="2"/>
        <v>-10307.080000000016</v>
      </c>
      <c r="AC21" s="52">
        <f>'[1]ICNC Interim Financial Position'!S26-'[1]ICNC Interim Financial Position'!Q26</f>
        <v>34892.410000000033</v>
      </c>
      <c r="AD21" s="52">
        <f>'[1]ICNC Financial Position'!S26-'[1]ICNC Financial Position'!Q26</f>
        <v>0</v>
      </c>
      <c r="AE21" s="52">
        <f t="shared" si="6"/>
        <v>44788.820000000007</v>
      </c>
      <c r="AF21" s="52">
        <f>'[1]ICNC Financial Position'!S26-'[1]ICNC Financial Position'!J26</f>
        <v>-10307.080000000016</v>
      </c>
      <c r="AG21" s="52">
        <f>'[1]ICNC Interim Financial Position'!U26-'[1]ICNC Interim Financial Position'!S26</f>
        <v>-12224.899999999965</v>
      </c>
      <c r="AH21" s="52">
        <f>'[1]ICNC Interim Financial Position'!V26-'[1]ICNC Interim Financial Position'!S26</f>
        <v>-36658.820000000007</v>
      </c>
      <c r="AI21" s="52">
        <f>'[1]ICNC Interim Financial Position'!W26-'[1]ICNC Interim Financial Position'!V26</f>
        <v>0</v>
      </c>
      <c r="AJ21" s="52">
        <f>'[1]ICNC Interim Financial Position'!X26-'[1]ICNC Interim Financial Position'!W26</f>
        <v>0</v>
      </c>
      <c r="AK21" s="52">
        <f>'[1]ICNC Interim Financial Position'!Y26-'[1]ICNC Interim Financial Position'!X26</f>
        <v>0</v>
      </c>
      <c r="AL21" s="52">
        <f>'[1]ICNC Interim Financial Position'!Y26-'[1]ICNC Interim Financial Position'!S26</f>
        <v>-36658.820000000007</v>
      </c>
      <c r="AM21" s="52">
        <f>'[1]ICNC Financial Position'!U26-'[1]ICNC Financial Position'!S26</f>
        <v>38086.887600000016</v>
      </c>
      <c r="AN21" s="52">
        <f>'[1]ICNC Financial Position'!V26-'[1]ICNC Financial Position'!U26</f>
        <v>9349.4942279999959</v>
      </c>
      <c r="AO21" s="94">
        <f>'[1]ICNC Financial Position'!W26-'[1]ICNC Financial Position'!V26</f>
        <v>9629.9790548400488</v>
      </c>
    </row>
    <row r="22" spans="1:41" ht="12" x14ac:dyDescent="0.2">
      <c r="A22" s="47"/>
      <c r="B22" s="53"/>
      <c r="C22" s="53"/>
      <c r="D22" s="53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>
        <f t="shared" si="2"/>
        <v>0</v>
      </c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94"/>
    </row>
    <row r="23" spans="1:41" ht="12" x14ac:dyDescent="0.2">
      <c r="A23" s="47"/>
      <c r="B23" s="53"/>
      <c r="C23" s="53"/>
      <c r="D23" s="53" t="s">
        <v>182</v>
      </c>
      <c r="E23" s="52">
        <f t="shared" ref="E23:K23" si="8">SUM(E8:E21)</f>
        <v>824043</v>
      </c>
      <c r="F23" s="52">
        <f t="shared" si="8"/>
        <v>861701</v>
      </c>
      <c r="G23" s="52">
        <f t="shared" si="8"/>
        <v>550888</v>
      </c>
      <c r="H23" s="52">
        <f t="shared" si="8"/>
        <v>668101.62000000011</v>
      </c>
      <c r="I23" s="52">
        <f t="shared" si="8"/>
        <v>665320</v>
      </c>
      <c r="J23" s="52">
        <f t="shared" si="8"/>
        <v>485003.54999999981</v>
      </c>
      <c r="K23" s="52">
        <f t="shared" si="8"/>
        <v>-42531.379999999859</v>
      </c>
      <c r="L23" s="52">
        <f t="shared" ref="L23:Q23" si="9">SUM(L8:L21)</f>
        <v>-111315.91999999937</v>
      </c>
      <c r="M23" s="52">
        <f t="shared" si="9"/>
        <v>111997.5799999998</v>
      </c>
      <c r="N23" s="52">
        <f t="shared" si="9"/>
        <v>442472.17</v>
      </c>
      <c r="O23" s="52">
        <f t="shared" si="9"/>
        <v>331160.52000000014</v>
      </c>
      <c r="P23" s="52">
        <f t="shared" si="9"/>
        <v>222992.2399999999</v>
      </c>
      <c r="Q23" s="52">
        <f t="shared" si="9"/>
        <v>468493.77</v>
      </c>
      <c r="R23" s="52">
        <f>SUM(R8:R21)</f>
        <v>491067.24</v>
      </c>
      <c r="S23" s="52">
        <f>SUM(S8:S21)</f>
        <v>66793.780000000057</v>
      </c>
      <c r="T23" s="52">
        <f t="shared" ref="T23:AE23" si="10">SUM(T8:T21)</f>
        <v>-49860.25</v>
      </c>
      <c r="U23" s="52">
        <f t="shared" si="10"/>
        <v>-141956.17999999993</v>
      </c>
      <c r="V23" s="52">
        <f t="shared" si="10"/>
        <v>-205003.43150000001</v>
      </c>
      <c r="W23" s="52">
        <f t="shared" si="10"/>
        <v>-75162.399999999965</v>
      </c>
      <c r="X23" s="52">
        <f t="shared" si="10"/>
        <v>-254863.68150000001</v>
      </c>
      <c r="Y23" s="52">
        <f t="shared" si="10"/>
        <v>26331.569999999803</v>
      </c>
      <c r="Z23" s="52">
        <f t="shared" si="10"/>
        <v>12869.35149999999</v>
      </c>
      <c r="AA23" s="52">
        <f t="shared" si="10"/>
        <v>-48830.830000000249</v>
      </c>
      <c r="AB23" s="52">
        <f t="shared" si="2"/>
        <v>-241994.32999999996</v>
      </c>
      <c r="AC23" s="52">
        <f t="shared" si="10"/>
        <v>336946.94000000029</v>
      </c>
      <c r="AD23" s="52">
        <f t="shared" si="10"/>
        <v>270417.75099999999</v>
      </c>
      <c r="AE23" s="52">
        <f t="shared" si="10"/>
        <v>288116.11000000016</v>
      </c>
      <c r="AF23" s="52">
        <f>SUM(AF8:AF21)</f>
        <v>28423.421000000031</v>
      </c>
      <c r="AG23" s="52">
        <f>SUM(AG8:AG21)</f>
        <v>-3025.6200000000536</v>
      </c>
      <c r="AH23" s="52">
        <f t="shared" ref="AH23:AL23" si="11">SUM(AH8:AH21)</f>
        <v>-85349.700000000114</v>
      </c>
      <c r="AI23" s="52">
        <f t="shared" si="11"/>
        <v>189853.81000000006</v>
      </c>
      <c r="AJ23" s="52">
        <f t="shared" si="11"/>
        <v>129063.53000000003</v>
      </c>
      <c r="AK23" s="52">
        <f t="shared" si="11"/>
        <v>31133.530000000028</v>
      </c>
      <c r="AL23" s="52">
        <f t="shared" si="11"/>
        <v>264701.16999999981</v>
      </c>
      <c r="AM23" s="52">
        <f>SUM(AM8:AM21)</f>
        <v>554355.82755055756</v>
      </c>
      <c r="AN23" s="52">
        <f>SUM(AN8:AN21)</f>
        <v>579040.15907382756</v>
      </c>
      <c r="AO23" s="94">
        <f>SUM(AO8:AO21)</f>
        <v>592269.47793992923</v>
      </c>
    </row>
    <row r="24" spans="1:41" ht="12" x14ac:dyDescent="0.2">
      <c r="A24" s="47"/>
      <c r="B24" s="53"/>
      <c r="C24" s="53"/>
      <c r="D24" s="53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94"/>
    </row>
    <row r="25" spans="1:41" ht="12" x14ac:dyDescent="0.2">
      <c r="A25" s="65" t="s">
        <v>183</v>
      </c>
      <c r="B25" s="53"/>
      <c r="C25" s="53"/>
      <c r="D25" s="53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94"/>
    </row>
    <row r="26" spans="1:41" ht="12" x14ac:dyDescent="0.2">
      <c r="A26" s="47"/>
      <c r="B26" s="53"/>
      <c r="C26" s="53"/>
      <c r="D26" s="53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94"/>
    </row>
    <row r="27" spans="1:41" ht="12" x14ac:dyDescent="0.2">
      <c r="A27" s="47"/>
      <c r="B27" s="53" t="s">
        <v>222</v>
      </c>
      <c r="C27" s="53"/>
      <c r="D27" s="53"/>
      <c r="E27" s="52">
        <v>-255636</v>
      </c>
      <c r="F27" s="52">
        <v>-101740</v>
      </c>
      <c r="G27" s="52">
        <v>-355341</v>
      </c>
      <c r="H27" s="52">
        <f>'[1]ICNC Financial Position'!D15-'[1]ICNC Financial Position'!E15-'[1]ICNC Cash Flows'!H10-'[1]Trial Balances'!H162</f>
        <v>-467904.08000000095</v>
      </c>
      <c r="I27" s="52">
        <v>-465126</v>
      </c>
      <c r="J27" s="52">
        <f>'[1]Trial Balances'!H38-'[1]Trial Balances'!M38+25157.85</f>
        <v>-427323.36000000092</v>
      </c>
      <c r="K27" s="52">
        <f>'[1]Trial Balances'!M38-'[1]Trial Balances'!R32</f>
        <v>-16692.75</v>
      </c>
      <c r="L27" s="52">
        <f>'[1]Trial Balances'!R32-'[1]Trial Balances'!AA33+'[1]Trial Balances'!R30-'[1]Trial Balances'!AA31-'[1]Trial Balances'!AA69</f>
        <v>-29951.969999999328</v>
      </c>
      <c r="M27" s="52">
        <f>Q27-SUM(J27:L27)</f>
        <v>-57966.919999999751</v>
      </c>
      <c r="N27" s="52">
        <f>J27+K27</f>
        <v>-444016.11000000092</v>
      </c>
      <c r="O27" s="52">
        <f>J27+K27+L27</f>
        <v>-473968.08000000025</v>
      </c>
      <c r="P27" s="52">
        <f>'[1]ICNC Financial Position'!E15-'[1]ICNC Financial Position'!K15-'[1]ICNC Cash Flows'!P10</f>
        <v>-1784961</v>
      </c>
      <c r="Q27" s="52">
        <v>-531935</v>
      </c>
      <c r="R27" s="52">
        <f>'[1]ICNC Financial Position'!E15-'[1]ICNC Financial Position'!L15-'[1]ICNC Cash Flows'!R10</f>
        <v>-1784961</v>
      </c>
      <c r="S27" s="52">
        <f>'[1]ICNC Financial Position'!J15-'[1]ICNC Financial Position'!M15-'[1]ICNC Cash Flows'!S10</f>
        <v>-23169.360000001267</v>
      </c>
      <c r="T27" s="52">
        <f>'[1]ICNC Financial Position'!J15-'[1]ICNC Financial Position'!N15-'[1]ICNC Cash Flows'!T10</f>
        <v>-83750</v>
      </c>
      <c r="U27" s="52">
        <f>-U10-'[1]ICNC Interim Financial Position'!O15+'[1]ICNC Interim Financial Position'!M15</f>
        <v>-79761.849999999627</v>
      </c>
      <c r="V27" s="52">
        <f>'[1]ICNC Financial Position'!N15-'[1]ICNC Financial Position'!P15-'[1]ICNC Cash Flows'!V10</f>
        <v>-83750</v>
      </c>
      <c r="W27" s="52">
        <f t="shared" ref="W27:W28" si="12">U27+S27</f>
        <v>-102931.21000000089</v>
      </c>
      <c r="X27" s="52">
        <f>V27+T27</f>
        <v>-167500</v>
      </c>
      <c r="Y27" s="52">
        <f>-Y10-'[1]ICNC Interim Financial Position'!Q15+'[1]ICNC Interim Financial Position'!O15</f>
        <v>-67392.990000000224</v>
      </c>
      <c r="Z27" s="52">
        <f>'[1]ICNC Financial Position'!P15-'[1]ICNC Financial Position'!Q15-'[1]ICNC Cash Flows'!Y10</f>
        <v>-1758750</v>
      </c>
      <c r="AA27" s="52">
        <f t="shared" ref="AA27:AA28" si="13">Y27+U27+S27</f>
        <v>-170324.20000000112</v>
      </c>
      <c r="AB27" s="52">
        <f t="shared" ref="AB27:AB28" si="14">AF27-AD27</f>
        <v>-1926250</v>
      </c>
      <c r="AC27" s="52">
        <f>'[1]ICNC Interim Financial Position'!Q15-'[1]ICNC Interim Financial Position'!S15-'[1]ICNC Interim Cash Flows'!AC10</f>
        <v>-147408.50999999978</v>
      </c>
      <c r="AD27" s="52">
        <f>'[1]ICNC Financial Position'!Q15-'[1]ICNC Financial Position'!S15-'[1]ICNC Cash Flows'!Z10</f>
        <v>-83750</v>
      </c>
      <c r="AE27" s="52">
        <f>AC27+Y27+U27+S27</f>
        <v>-317732.71000000089</v>
      </c>
      <c r="AF27" s="52">
        <f>'[1]ICNC Financial Position'!J15-'[1]ICNC Financial Position'!S15-'[1]ICNC Cash Flows'!AB10</f>
        <v>-2010000</v>
      </c>
      <c r="AG27" s="52">
        <f>'[1]ICNC Interim Financial Position'!S15-'[1]ICNC Interim Financial Position'!U15-AG10</f>
        <v>-179272.6099999994</v>
      </c>
      <c r="AH27" s="52">
        <f>'[1]ICNC Interim Financial Position'!S15-'[1]ICNC Interim Financial Position'!V15-AH10</f>
        <v>-300000</v>
      </c>
      <c r="AI27" s="52">
        <f>'[1]ICNC Interim Financial Position'!V15-'[1]ICNC Interim Financial Position'!W15-AI10</f>
        <v>-700000</v>
      </c>
      <c r="AJ27" s="52">
        <f>'[1]ICNC Interim Financial Position'!W15-'[1]ICNC Interim Financial Position'!X15-AJ10</f>
        <v>-700000</v>
      </c>
      <c r="AK27" s="52">
        <f>'[1]ICNC Interim Financial Position'!X15-'[1]ICNC Interim Financial Position'!Y15-AK10</f>
        <v>-500000</v>
      </c>
      <c r="AL27" s="52">
        <f>AH27+AI27+AJ27+AK27</f>
        <v>-2200000</v>
      </c>
      <c r="AM27" s="52">
        <f>'[1]ICNC Financial Position'!S15-'[1]ICNC Financial Position'!U15-'[1]ICNC Cash Flows'!AD10</f>
        <v>-334749.99999999965</v>
      </c>
      <c r="AN27" s="52">
        <f>'[1]ICNC Financial Position'!U15-'[1]ICNC Financial Position'!V15-'[1]ICNC Cash Flows'!AE10</f>
        <v>-344792.49999999959</v>
      </c>
      <c r="AO27" s="94">
        <f>'[1]ICNC Financial Position'!V15-'[1]ICNC Financial Position'!W15-'[1]ICNC Cash Flows'!AF10</f>
        <v>-355136.27499999962</v>
      </c>
    </row>
    <row r="28" spans="1:41" ht="12" x14ac:dyDescent="0.2">
      <c r="A28" s="47"/>
      <c r="B28" s="53" t="s">
        <v>199</v>
      </c>
      <c r="C28" s="53"/>
      <c r="D28" s="53"/>
      <c r="E28" s="52">
        <v>0</v>
      </c>
      <c r="F28" s="52">
        <v>-828954</v>
      </c>
      <c r="G28" s="52">
        <v>-16314</v>
      </c>
      <c r="H28" s="52">
        <f>'[1]ICNC Financial Position'!D9-'[1]ICNC Financial Position'!E9</f>
        <v>31360.829999999958</v>
      </c>
      <c r="I28" s="52">
        <v>31361</v>
      </c>
      <c r="J28" s="52">
        <f>'[1]ICNC Financial Position'!E9-'[1]ICNC Financial Position'!G9</f>
        <v>4299.1000000000931</v>
      </c>
      <c r="K28" s="52">
        <f>'[1]ICNC Financial Position'!G9-'[1]ICNC Financial Position'!H9</f>
        <v>181359.68999999994</v>
      </c>
      <c r="L28" s="52">
        <f>'[1]ICNC Financial Position'!H9-'[1]ICNC Financial Position'!I9</f>
        <v>-18286.150000000023</v>
      </c>
      <c r="M28" s="52">
        <f>Q28-SUM(J28:L28)</f>
        <v>-1695.640000000014</v>
      </c>
      <c r="N28" s="52">
        <f>J28+K28</f>
        <v>185658.79000000004</v>
      </c>
      <c r="O28" s="52">
        <f>J28+K28+L28</f>
        <v>167372.64000000001</v>
      </c>
      <c r="P28" s="52">
        <f>'[1]ICNC Financial Position'!E9-'[1]ICNC Financial Position'!L9</f>
        <v>-21092.829999999958</v>
      </c>
      <c r="Q28" s="52">
        <v>165677</v>
      </c>
      <c r="R28" s="52">
        <f>'[1]ICNC Financial Position'!E9-'[1]ICNC Financial Position'!L9</f>
        <v>-21092.829999999958</v>
      </c>
      <c r="S28" s="52">
        <f>'[1]ICNC Financial Position'!J9-'[1]ICNC Financial Position'!M9</f>
        <v>-25030.430000000051</v>
      </c>
      <c r="T28" s="52">
        <f>'[1]ICNC Financial Position'!J9-'[1]ICNC Financial Position'!N9</f>
        <v>0</v>
      </c>
      <c r="U28" s="52">
        <f>'[1]ICNC Financial Position'!M9-'[1]ICNC Financial Position'!O9</f>
        <v>299198.06000000006</v>
      </c>
      <c r="V28" s="52">
        <f>'[1]ICNC Financial Position'!N9-'[1]ICNC Financial Position'!P9</f>
        <v>325000</v>
      </c>
      <c r="W28" s="52">
        <f t="shared" si="12"/>
        <v>274167.63</v>
      </c>
      <c r="X28" s="52">
        <f>V28+T28</f>
        <v>325000</v>
      </c>
      <c r="Y28" s="52">
        <f>'[1]ICNC Interim Financial Position'!O9-'[1]ICNC Interim Financial Position'!Q9</f>
        <v>71757.239999999991</v>
      </c>
      <c r="Z28" s="52">
        <f>'[1]ICNC Financial Position'!P9-'[1]ICNC Financial Position'!Q9</f>
        <v>0</v>
      </c>
      <c r="AA28" s="52">
        <f t="shared" si="13"/>
        <v>345924.87</v>
      </c>
      <c r="AB28" s="52">
        <f t="shared" si="14"/>
        <v>325000</v>
      </c>
      <c r="AC28" s="52">
        <f>'[1]ICNC Interim Financial Position'!Q9-'[1]ICNC Interim Financial Position'!S9</f>
        <v>-6258.6900000000023</v>
      </c>
      <c r="AD28" s="52">
        <f>'[1]ICNC Financial Position'!Q9-'[1]ICNC Financial Position'!S9</f>
        <v>0</v>
      </c>
      <c r="AE28" s="52">
        <f>AC28+Y28+U28+S28</f>
        <v>339666.18</v>
      </c>
      <c r="AF28" s="52">
        <f>'[1]ICNC Financial Position'!J9-'[1]ICNC Financial Position'!S9</f>
        <v>325000</v>
      </c>
      <c r="AG28" s="52">
        <f>'[1]ICNC Interim Financial Position'!S9-'[1]ICNC Interim Financial Position'!U9</f>
        <v>-1546.5800000000163</v>
      </c>
      <c r="AH28" s="52">
        <f>'[1]ICNC Interim Financial Position'!S9-'[1]ICNC Interim Financial Position'!V9</f>
        <v>-26436.179999999993</v>
      </c>
      <c r="AI28" s="52">
        <f>'[1]ICNC Interim Financial Position'!V9-'[1]ICNC Interim Financial Position'!W9</f>
        <v>-500</v>
      </c>
      <c r="AJ28" s="52">
        <f>'[1]ICNC Interim Financial Position'!V9-'[1]ICNC Interim Financial Position'!W9</f>
        <v>-500</v>
      </c>
      <c r="AK28" s="52">
        <f>'[1]ICNC Interim Financial Position'!X9-'[1]ICNC Interim Financial Position'!Y9</f>
        <v>-1775.3499999999767</v>
      </c>
      <c r="AL28" s="52">
        <f>'[1]ICNC Interim Financial Position'!S9-'[1]ICNC Interim Financial Position'!Y9</f>
        <v>-29211.52999999997</v>
      </c>
      <c r="AM28" s="52">
        <f>'[1]ICNC Financial Position'!S9-'[1]ICNC Financial Position'!U9</f>
        <v>94020</v>
      </c>
      <c r="AN28" s="52">
        <f>'[1]ICNC Financial Position'!U9-'[1]ICNC Financial Position'!V9</f>
        <v>-4240.3850000000093</v>
      </c>
      <c r="AO28" s="94">
        <f>'[1]ICNC Financial Position'!V9-'[1]ICNC Financial Position'!W9</f>
        <v>-4318.8321224999963</v>
      </c>
    </row>
    <row r="29" spans="1:41" ht="12" hidden="1" x14ac:dyDescent="0.2">
      <c r="A29" s="47"/>
      <c r="B29" s="53" t="s">
        <v>223</v>
      </c>
      <c r="C29" s="53"/>
      <c r="D29" s="53"/>
      <c r="E29" s="52">
        <v>-3099</v>
      </c>
      <c r="F29" s="52">
        <v>291269</v>
      </c>
      <c r="G29" s="52">
        <v>-10</v>
      </c>
      <c r="H29" s="52">
        <f>'[1]ICNC Financial Position'!D10-'[1]ICNC Financial Position'!E10</f>
        <v>125842</v>
      </c>
      <c r="I29" s="52">
        <v>100686</v>
      </c>
      <c r="J29" s="52">
        <v>0</v>
      </c>
      <c r="K29" s="52">
        <v>0</v>
      </c>
      <c r="L29" s="52">
        <v>0</v>
      </c>
      <c r="M29" s="52"/>
      <c r="N29" s="52">
        <f>J29+K29</f>
        <v>0</v>
      </c>
      <c r="O29" s="52">
        <f>J29+K29+L29</f>
        <v>0</v>
      </c>
      <c r="P29" s="52">
        <v>0</v>
      </c>
      <c r="Q29" s="52">
        <v>25156</v>
      </c>
      <c r="R29" s="52">
        <v>0</v>
      </c>
      <c r="S29" s="52"/>
      <c r="T29" s="52"/>
      <c r="U29" s="52"/>
      <c r="V29" s="52"/>
      <c r="W29" s="52"/>
      <c r="X29" s="52">
        <f>V29+T29</f>
        <v>0</v>
      </c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94"/>
    </row>
    <row r="30" spans="1:41" ht="12" x14ac:dyDescent="0.2">
      <c r="A30" s="47"/>
      <c r="B30" s="53"/>
      <c r="C30" s="53"/>
      <c r="D30" s="53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94"/>
    </row>
    <row r="31" spans="1:41" ht="12" x14ac:dyDescent="0.2">
      <c r="A31" s="47"/>
      <c r="B31" s="53"/>
      <c r="C31" s="53"/>
      <c r="D31" s="53" t="s">
        <v>184</v>
      </c>
      <c r="E31" s="52">
        <f t="shared" ref="E31:Q31" si="15">SUM(E27:E29)</f>
        <v>-258735</v>
      </c>
      <c r="F31" s="52">
        <f t="shared" si="15"/>
        <v>-639425</v>
      </c>
      <c r="G31" s="52">
        <f t="shared" si="15"/>
        <v>-371665</v>
      </c>
      <c r="H31" s="52">
        <f t="shared" si="15"/>
        <v>-310701.25000000099</v>
      </c>
      <c r="I31" s="52">
        <f>SUM(I27:I29)</f>
        <v>-333079</v>
      </c>
      <c r="J31" s="52">
        <f t="shared" si="15"/>
        <v>-423024.26000000082</v>
      </c>
      <c r="K31" s="52">
        <f t="shared" si="15"/>
        <v>164666.93999999994</v>
      </c>
      <c r="L31" s="52">
        <f t="shared" si="15"/>
        <v>-48238.119999999355</v>
      </c>
      <c r="M31" s="52">
        <f t="shared" si="15"/>
        <v>-59662.559999999765</v>
      </c>
      <c r="N31" s="52">
        <f t="shared" si="15"/>
        <v>-258357.32000000088</v>
      </c>
      <c r="O31" s="52">
        <f t="shared" si="15"/>
        <v>-306595.44000000024</v>
      </c>
      <c r="P31" s="52">
        <f t="shared" si="15"/>
        <v>-1806053.83</v>
      </c>
      <c r="Q31" s="52">
        <f t="shared" si="15"/>
        <v>-341102</v>
      </c>
      <c r="R31" s="52">
        <f>SUM(R27:R29)</f>
        <v>-1806053.83</v>
      </c>
      <c r="S31" s="52">
        <f>SUM(S27:S29)</f>
        <v>-48199.790000001318</v>
      </c>
      <c r="T31" s="52">
        <f t="shared" ref="T31:AE31" si="16">SUM(T27:T29)</f>
        <v>-83750</v>
      </c>
      <c r="U31" s="52">
        <f t="shared" si="16"/>
        <v>219436.21000000043</v>
      </c>
      <c r="V31" s="52">
        <f t="shared" si="16"/>
        <v>241250</v>
      </c>
      <c r="W31" s="52">
        <f t="shared" si="16"/>
        <v>171236.41999999911</v>
      </c>
      <c r="X31" s="52">
        <f t="shared" si="16"/>
        <v>157500</v>
      </c>
      <c r="Y31" s="52">
        <f t="shared" si="16"/>
        <v>4364.2499999997672</v>
      </c>
      <c r="Z31" s="52">
        <f t="shared" si="16"/>
        <v>-1758750</v>
      </c>
      <c r="AA31" s="52">
        <f t="shared" si="16"/>
        <v>175600.66999999888</v>
      </c>
      <c r="AB31" s="52">
        <f>AF31-AD31</f>
        <v>-1601250</v>
      </c>
      <c r="AC31" s="52">
        <f t="shared" si="16"/>
        <v>-153667.19999999978</v>
      </c>
      <c r="AD31" s="52">
        <f t="shared" si="16"/>
        <v>-83750</v>
      </c>
      <c r="AE31" s="52">
        <f t="shared" si="16"/>
        <v>21933.469999999099</v>
      </c>
      <c r="AF31" s="52">
        <f>SUM(AF27:AF29)</f>
        <v>-1685000</v>
      </c>
      <c r="AG31" s="39">
        <f>SUM(AG27:AG28)</f>
        <v>-180819.18999999942</v>
      </c>
      <c r="AH31" s="39">
        <f t="shared" ref="AH31:AL31" si="17">SUM(AH27:AH28)</f>
        <v>-326436.18</v>
      </c>
      <c r="AI31" s="39">
        <f t="shared" si="17"/>
        <v>-700500</v>
      </c>
      <c r="AJ31" s="39">
        <f t="shared" si="17"/>
        <v>-700500</v>
      </c>
      <c r="AK31" s="39">
        <f t="shared" si="17"/>
        <v>-501775.35</v>
      </c>
      <c r="AL31" s="39">
        <f t="shared" si="17"/>
        <v>-2229211.5299999998</v>
      </c>
      <c r="AM31" s="52">
        <f>SUM(AM27:AM29)</f>
        <v>-240729.99999999965</v>
      </c>
      <c r="AN31" s="52">
        <f>SUM(AN27:AN29)</f>
        <v>-349032.8849999996</v>
      </c>
      <c r="AO31" s="94">
        <f>SUM(AO27:AO29)</f>
        <v>-359455.10712249961</v>
      </c>
    </row>
    <row r="32" spans="1:41" ht="12" x14ac:dyDescent="0.2">
      <c r="A32" s="47"/>
      <c r="B32" s="53"/>
      <c r="C32" s="53"/>
      <c r="D32" s="53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94"/>
    </row>
    <row r="33" spans="1:42" ht="12" x14ac:dyDescent="0.2">
      <c r="A33" s="63" t="s">
        <v>185</v>
      </c>
      <c r="B33" s="53"/>
      <c r="C33" s="53"/>
      <c r="D33" s="53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94"/>
    </row>
    <row r="34" spans="1:42" ht="12" x14ac:dyDescent="0.2">
      <c r="A34" s="47"/>
      <c r="B34" s="53"/>
      <c r="C34" s="53"/>
      <c r="D34" s="53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94"/>
    </row>
    <row r="35" spans="1:42" ht="12" x14ac:dyDescent="0.2">
      <c r="A35" s="47"/>
      <c r="B35" s="53" t="s">
        <v>224</v>
      </c>
      <c r="C35" s="53"/>
      <c r="D35" s="53"/>
      <c r="E35" s="52">
        <v>-360289</v>
      </c>
      <c r="F35" s="52">
        <v>-1635659</v>
      </c>
      <c r="G35" s="52">
        <v>-266350</v>
      </c>
      <c r="H35" s="52">
        <f>'[1]ICNC Financial Position'!E25-'[1]ICNC Financial Position'!D25</f>
        <v>-207909.11</v>
      </c>
      <c r="I35" s="52">
        <v>-207909</v>
      </c>
      <c r="J35" s="52">
        <f>-('[1]Trial Balances'!M60-'[1]Trial Balances'!H61)</f>
        <v>-35621.530000000028</v>
      </c>
      <c r="K35" s="52">
        <f>'[1]ICNC Financial Position'!H25-'[1]ICNC Financial Position'!G25</f>
        <v>-53743.199999999983</v>
      </c>
      <c r="L35" s="52">
        <f>'[1]ICNC Financial Position'!I25-'[1]ICNC Financial Position'!H25</f>
        <v>-54295.53</v>
      </c>
      <c r="M35" s="52">
        <f>Q35-SUM(J35:L35)</f>
        <v>-54854.5</v>
      </c>
      <c r="N35" s="52">
        <f>J35+K35</f>
        <v>-89364.73000000001</v>
      </c>
      <c r="O35" s="52">
        <f>J35+K35+L35</f>
        <v>-143660.26</v>
      </c>
      <c r="P35" s="52">
        <f>'[1]ICNC Financial Position'!K25-'[1]ICNC Financial Position'!E25</f>
        <v>1341092.1099999999</v>
      </c>
      <c r="Q35" s="52">
        <f>'[1]ICNC Financial Position'!J25-'[1]ICNC Financial Position'!F25</f>
        <v>-198514.76</v>
      </c>
      <c r="R35" s="52">
        <f>'[1]ICNC Financial Position'!L25-'[1]ICNC Financial Position'!E25</f>
        <v>1233092.1099999999</v>
      </c>
      <c r="S35" s="52">
        <f>'[1]ICNC Financial Position'!M25-'[1]ICNC Financial Position'!J25</f>
        <v>-18393.150000000001</v>
      </c>
      <c r="T35" s="52">
        <f>'[1]ICNC Financial Position'!N25-'[1]ICNC Financial Position'!J25</f>
        <v>-18393.240000000002</v>
      </c>
      <c r="U35" s="52">
        <f>'[1]ICNC Financial Position'!O25-'[1]ICNC Financial Position'!M25</f>
        <v>0</v>
      </c>
      <c r="V35" s="52">
        <f>'[1]ICNC Financial Position'!P25-'[1]ICNC Financial Position'!N25</f>
        <v>0</v>
      </c>
      <c r="W35" s="52">
        <f t="shared" ref="W35:W36" si="18">U35+S35</f>
        <v>-18393.150000000001</v>
      </c>
      <c r="X35" s="52">
        <f>V35+T35</f>
        <v>-18393.240000000002</v>
      </c>
      <c r="Y35" s="52">
        <f>'[1]ICNC Interim Financial Position'!Q25-'[1]ICNC Interim Financial Position'!O25</f>
        <v>-0.09</v>
      </c>
      <c r="Z35" s="52">
        <f>'[1]ICNC Financial Position'!Q25-'[1]ICNC Financial Position'!P25</f>
        <v>1809000</v>
      </c>
      <c r="AA35" s="52">
        <f>Y35+U35+S35</f>
        <v>-18393.240000000002</v>
      </c>
      <c r="AB35" s="52">
        <f>AF35-AD35</f>
        <v>1790606.76</v>
      </c>
      <c r="AC35" s="52">
        <v>0</v>
      </c>
      <c r="AD35" s="52">
        <f>'[1]ICNC Financial Position'!S25-'[1]ICNC Financial Position'!Q25</f>
        <v>0</v>
      </c>
      <c r="AE35" s="52">
        <f>AC35+Y35+U35+S35</f>
        <v>-18393.240000000002</v>
      </c>
      <c r="AF35" s="52">
        <f>'[1]ICNC Financial Position'!S25-'[1]ICNC Financial Position'!J25</f>
        <v>1790606.76</v>
      </c>
      <c r="AG35" s="52">
        <v>0</v>
      </c>
      <c r="AH35" s="52">
        <f>'[1]ICNC Interim Financial Position'!V25</f>
        <v>300000</v>
      </c>
      <c r="AI35" s="52">
        <f>'[1]ICNC Interim Financial Position'!W25-'[1]ICNC Interim Financial Position'!V25</f>
        <v>675000</v>
      </c>
      <c r="AJ35" s="52">
        <f>'[1]ICNC Interim Financial Position'!X25-'[1]ICNC Interim Financial Position'!W25</f>
        <v>675000</v>
      </c>
      <c r="AK35" s="52">
        <f>'[1]ICNC Interim Financial Position'!Y25-'[1]ICNC Interim Financial Position'!X25</f>
        <v>475000</v>
      </c>
      <c r="AL35" s="52">
        <f>AH35+AI35+AJ35+AK35</f>
        <v>2125000</v>
      </c>
      <c r="AM35" s="52">
        <f>'[1]ICNC Financial Position'!U25-'[1]ICNC Financial Position'!S25</f>
        <v>335170.9051222601</v>
      </c>
      <c r="AN35" s="52">
        <f>'[1]ICNC Financial Position'!V25-'[1]ICNC Financial Position'!U25</f>
        <v>-110911.62116194586</v>
      </c>
      <c r="AO35" s="94">
        <f>-'[1]Loan Schedule'!S21</f>
        <v>-116238.23980524778</v>
      </c>
    </row>
    <row r="36" spans="1:42" ht="12" hidden="1" x14ac:dyDescent="0.2">
      <c r="A36" s="47"/>
      <c r="B36" s="53" t="str">
        <f>'[1]ICNC Cash Flows'!B36</f>
        <v>Unrestricted Net Assets</v>
      </c>
      <c r="C36" s="53"/>
      <c r="D36" s="53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>
        <v>0</v>
      </c>
      <c r="V36" s="52"/>
      <c r="W36" s="52">
        <f t="shared" si="18"/>
        <v>0</v>
      </c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94"/>
    </row>
    <row r="37" spans="1:42" ht="12" x14ac:dyDescent="0.2">
      <c r="A37" s="47"/>
      <c r="B37" s="53"/>
      <c r="C37" s="53"/>
      <c r="D37" s="53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94"/>
    </row>
    <row r="38" spans="1:42" ht="12" x14ac:dyDescent="0.2">
      <c r="A38" s="47"/>
      <c r="B38" s="53"/>
      <c r="C38" s="53"/>
      <c r="D38" s="53" t="s">
        <v>186</v>
      </c>
      <c r="E38" s="52">
        <f>SUM(E35:E35)</f>
        <v>-360289</v>
      </c>
      <c r="F38" s="52">
        <f>SUM(F35:F35)</f>
        <v>-1635659</v>
      </c>
      <c r="G38" s="52">
        <f t="shared" ref="G38:AE38" si="19">SUM(G35:G36)</f>
        <v>-266350</v>
      </c>
      <c r="H38" s="52">
        <f t="shared" si="19"/>
        <v>-207909.11</v>
      </c>
      <c r="I38" s="52">
        <f t="shared" si="19"/>
        <v>-207909</v>
      </c>
      <c r="J38" s="52">
        <f t="shared" si="19"/>
        <v>-35621.530000000028</v>
      </c>
      <c r="K38" s="52">
        <f t="shared" si="19"/>
        <v>-53743.199999999983</v>
      </c>
      <c r="L38" s="52">
        <f t="shared" si="19"/>
        <v>-54295.53</v>
      </c>
      <c r="M38" s="52">
        <f t="shared" si="19"/>
        <v>-54854.5</v>
      </c>
      <c r="N38" s="52">
        <f t="shared" si="19"/>
        <v>-89364.73000000001</v>
      </c>
      <c r="O38" s="52">
        <f t="shared" si="19"/>
        <v>-143660.26</v>
      </c>
      <c r="P38" s="52">
        <f t="shared" si="19"/>
        <v>1341092.1099999999</v>
      </c>
      <c r="Q38" s="52">
        <f t="shared" si="19"/>
        <v>-198514.76</v>
      </c>
      <c r="R38" s="52">
        <f t="shared" si="19"/>
        <v>1233092.1099999999</v>
      </c>
      <c r="S38" s="52">
        <f t="shared" si="19"/>
        <v>-18393.150000000001</v>
      </c>
      <c r="T38" s="52">
        <f t="shared" si="19"/>
        <v>-18393.240000000002</v>
      </c>
      <c r="U38" s="52">
        <f t="shared" si="19"/>
        <v>0</v>
      </c>
      <c r="V38" s="52">
        <f t="shared" si="19"/>
        <v>0</v>
      </c>
      <c r="W38" s="52">
        <f t="shared" si="19"/>
        <v>-18393.150000000001</v>
      </c>
      <c r="X38" s="52">
        <f t="shared" si="19"/>
        <v>-18393.240000000002</v>
      </c>
      <c r="Y38" s="52">
        <f t="shared" si="19"/>
        <v>-0.09</v>
      </c>
      <c r="Z38" s="52">
        <f t="shared" si="19"/>
        <v>1809000</v>
      </c>
      <c r="AA38" s="52">
        <f t="shared" si="19"/>
        <v>-18393.240000000002</v>
      </c>
      <c r="AB38" s="52">
        <f>AF38-AD38</f>
        <v>1790606.76</v>
      </c>
      <c r="AC38" s="52">
        <f t="shared" si="19"/>
        <v>0</v>
      </c>
      <c r="AD38" s="52">
        <f>SUM(AD35:AD36)</f>
        <v>0</v>
      </c>
      <c r="AE38" s="52">
        <f t="shared" si="19"/>
        <v>-18393.240000000002</v>
      </c>
      <c r="AF38" s="52">
        <f>SUM(AF35:AF36)</f>
        <v>1790606.76</v>
      </c>
      <c r="AG38" s="52">
        <f>AG35</f>
        <v>0</v>
      </c>
      <c r="AH38" s="52">
        <f t="shared" ref="AH38:AL38" si="20">AH35</f>
        <v>300000</v>
      </c>
      <c r="AI38" s="52">
        <f t="shared" si="20"/>
        <v>675000</v>
      </c>
      <c r="AJ38" s="52">
        <f t="shared" si="20"/>
        <v>675000</v>
      </c>
      <c r="AK38" s="52">
        <f t="shared" si="20"/>
        <v>475000</v>
      </c>
      <c r="AL38" s="52">
        <f t="shared" si="20"/>
        <v>2125000</v>
      </c>
      <c r="AM38" s="52">
        <f>SUM(AM35:AM36)</f>
        <v>335170.9051222601</v>
      </c>
      <c r="AN38" s="52">
        <f>SUM(AN35:AN36)</f>
        <v>-110911.62116194586</v>
      </c>
      <c r="AO38" s="52">
        <f>SUM(AO35:AO36)</f>
        <v>-116238.23980524778</v>
      </c>
    </row>
    <row r="39" spans="1:42" ht="12" x14ac:dyDescent="0.2">
      <c r="A39" s="47"/>
      <c r="B39" s="53"/>
      <c r="C39" s="53"/>
      <c r="D39" s="53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94"/>
    </row>
    <row r="40" spans="1:42" ht="12" x14ac:dyDescent="0.2">
      <c r="A40" s="63" t="s">
        <v>187</v>
      </c>
      <c r="B40" s="53"/>
      <c r="C40" s="53"/>
      <c r="D40" s="53"/>
      <c r="E40" s="52">
        <f>E38+E31+E23</f>
        <v>205019</v>
      </c>
      <c r="F40" s="52">
        <f>F38+F31+F23</f>
        <v>-1413383</v>
      </c>
      <c r="G40" s="52">
        <f>G38+G31+G23</f>
        <v>-87127</v>
      </c>
      <c r="H40" s="52">
        <f>H38+H31+H23</f>
        <v>149491.25999999914</v>
      </c>
      <c r="I40" s="52">
        <f>I23+I31+I38</f>
        <v>124332</v>
      </c>
      <c r="J40" s="52">
        <f t="shared" ref="J40:AE40" si="21">J38+J31+J23</f>
        <v>26357.759999998962</v>
      </c>
      <c r="K40" s="52">
        <f t="shared" si="21"/>
        <v>68392.360000000102</v>
      </c>
      <c r="L40" s="52">
        <f t="shared" si="21"/>
        <v>-213849.56999999873</v>
      </c>
      <c r="M40" s="52">
        <f t="shared" si="21"/>
        <v>-2519.4799999999668</v>
      </c>
      <c r="N40" s="52">
        <f t="shared" si="21"/>
        <v>94750.119999999122</v>
      </c>
      <c r="O40" s="52">
        <f t="shared" si="21"/>
        <v>-119095.18000000011</v>
      </c>
      <c r="P40" s="52">
        <f t="shared" si="21"/>
        <v>-241969.4800000003</v>
      </c>
      <c r="Q40" s="52">
        <f t="shared" si="21"/>
        <v>-71122.989999999991</v>
      </c>
      <c r="R40" s="52">
        <f t="shared" si="21"/>
        <v>-81894.480000000214</v>
      </c>
      <c r="S40" s="52">
        <f t="shared" si="21"/>
        <v>200.83999999874504</v>
      </c>
      <c r="T40" s="52">
        <f t="shared" si="21"/>
        <v>-152003.49</v>
      </c>
      <c r="U40" s="52">
        <f t="shared" si="21"/>
        <v>77480.030000000494</v>
      </c>
      <c r="V40" s="52">
        <f t="shared" si="21"/>
        <v>36246.568499999994</v>
      </c>
      <c r="W40" s="52">
        <f t="shared" si="21"/>
        <v>77680.869999999151</v>
      </c>
      <c r="X40" s="52">
        <f t="shared" si="21"/>
        <v>-115756.9215</v>
      </c>
      <c r="Y40" s="52">
        <f t="shared" si="21"/>
        <v>30695.72999999957</v>
      </c>
      <c r="Z40" s="52">
        <f t="shared" si="21"/>
        <v>63119.35149999999</v>
      </c>
      <c r="AA40" s="52">
        <f t="shared" si="21"/>
        <v>108376.59999999864</v>
      </c>
      <c r="AB40" s="52">
        <f>AF40-AD40</f>
        <v>-52637.569999999949</v>
      </c>
      <c r="AC40" s="52">
        <f t="shared" si="21"/>
        <v>183279.74000000051</v>
      </c>
      <c r="AD40" s="52">
        <f>AD38+AD31+AD23</f>
        <v>186667.75099999999</v>
      </c>
      <c r="AE40" s="52">
        <f t="shared" si="21"/>
        <v>291656.33999999927</v>
      </c>
      <c r="AF40" s="52">
        <f>AF38+AF31+AF23</f>
        <v>134030.18100000004</v>
      </c>
      <c r="AG40" s="52">
        <f>AG38+AG31+AG23</f>
        <v>-183844.80999999947</v>
      </c>
      <c r="AH40" s="52">
        <f t="shared" ref="AH40:AL40" si="22">AH38+AH31+AH23</f>
        <v>-111785.88000000011</v>
      </c>
      <c r="AI40" s="52">
        <f t="shared" si="22"/>
        <v>164353.81000000006</v>
      </c>
      <c r="AJ40" s="52">
        <f t="shared" si="22"/>
        <v>103563.53000000003</v>
      </c>
      <c r="AK40" s="52">
        <f t="shared" si="22"/>
        <v>4358.1800000000512</v>
      </c>
      <c r="AL40" s="52">
        <f t="shared" si="22"/>
        <v>160489.64000000001</v>
      </c>
      <c r="AM40" s="52">
        <f>AM38+AM31+AM23</f>
        <v>648796.73267281801</v>
      </c>
      <c r="AN40" s="52">
        <f>AN38+AN31+AN23</f>
        <v>119095.65291188209</v>
      </c>
      <c r="AO40" s="94">
        <f>AO38+AO31+AO23</f>
        <v>116576.13101218187</v>
      </c>
    </row>
    <row r="41" spans="1:42" ht="12" x14ac:dyDescent="0.2">
      <c r="A41" s="47"/>
      <c r="B41" s="53"/>
      <c r="C41" s="53"/>
      <c r="D41" s="53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94"/>
    </row>
    <row r="42" spans="1:42" ht="12" x14ac:dyDescent="0.2">
      <c r="A42" s="63" t="s">
        <v>188</v>
      </c>
      <c r="B42" s="53"/>
      <c r="C42" s="53"/>
      <c r="D42" s="53"/>
      <c r="E42" s="52">
        <v>1549793</v>
      </c>
      <c r="F42" s="52">
        <f>E44+2</f>
        <v>1754814</v>
      </c>
      <c r="G42" s="52">
        <f>F44+2</f>
        <v>341433</v>
      </c>
      <c r="H42" s="52">
        <f>'[1]ICNC Financial Position'!D8-2</f>
        <v>254304</v>
      </c>
      <c r="I42" s="52">
        <f>G44</f>
        <v>254306</v>
      </c>
      <c r="J42" s="52">
        <f>I44</f>
        <v>378638</v>
      </c>
      <c r="K42" s="52">
        <f>J44</f>
        <v>404995.75999999896</v>
      </c>
      <c r="L42" s="52">
        <f>K44</f>
        <v>473388.11999999906</v>
      </c>
      <c r="M42" s="52">
        <f>L44</f>
        <v>259538.55000000034</v>
      </c>
      <c r="N42" s="52">
        <f>L44</f>
        <v>259538.55000000034</v>
      </c>
      <c r="O42" s="52">
        <f>H44</f>
        <v>403795.37</v>
      </c>
      <c r="P42" s="52">
        <f>H44</f>
        <v>403795.37</v>
      </c>
      <c r="Q42" s="52">
        <f>I44</f>
        <v>378638</v>
      </c>
      <c r="R42" s="52">
        <f>H44</f>
        <v>403795.37</v>
      </c>
      <c r="S42" s="52">
        <f>'[1]ICNC Financial Position'!J8</f>
        <v>307514</v>
      </c>
      <c r="T42" s="52">
        <f>Q44</f>
        <v>307514</v>
      </c>
      <c r="U42" s="52">
        <f>S44</f>
        <v>307716.31000000006</v>
      </c>
      <c r="V42" s="52">
        <f>T44</f>
        <v>155510.75</v>
      </c>
      <c r="W42" s="52">
        <f>Q44</f>
        <v>307514</v>
      </c>
      <c r="X42" s="52">
        <f>Q44</f>
        <v>307514</v>
      </c>
      <c r="Y42" s="52">
        <f>W44</f>
        <v>385196.65</v>
      </c>
      <c r="Z42" s="52">
        <f>V44</f>
        <v>191757.31850000005</v>
      </c>
      <c r="AA42" s="52">
        <f>S42</f>
        <v>307514</v>
      </c>
      <c r="AB42" s="52">
        <f>S42</f>
        <v>307514</v>
      </c>
      <c r="AC42" s="52">
        <f>'[1]ICNC Interim Financial Position'!Q8</f>
        <v>415892.22</v>
      </c>
      <c r="AD42" s="52">
        <f>Z44</f>
        <v>254876.66999999993</v>
      </c>
      <c r="AE42" s="52">
        <f>'[1]ICNC Financial Position'!J8</f>
        <v>307514</v>
      </c>
      <c r="AF42" s="52">
        <f>Q44</f>
        <v>307514</v>
      </c>
      <c r="AG42" s="52">
        <f>'[1]ICNC Financial Position'!R8</f>
        <v>599172.18000000005</v>
      </c>
      <c r="AH42" s="52">
        <f>AG42</f>
        <v>599172.18000000005</v>
      </c>
      <c r="AI42" s="52">
        <f>AH44</f>
        <v>487386.19000000414</v>
      </c>
      <c r="AJ42" s="52">
        <f>AI44</f>
        <v>651740.00000000373</v>
      </c>
      <c r="AK42" s="52">
        <f>AJ44</f>
        <v>755303.53000000492</v>
      </c>
      <c r="AL42" s="52">
        <f>AG42</f>
        <v>599172.18000000005</v>
      </c>
      <c r="AM42" s="52">
        <f>AF44</f>
        <v>441544.42099999823</v>
      </c>
      <c r="AN42" s="52">
        <f>AM44</f>
        <v>1090341.1536728162</v>
      </c>
      <c r="AO42" s="94">
        <f>AN44</f>
        <v>1209436.8065846991</v>
      </c>
    </row>
    <row r="43" spans="1:42" ht="12" x14ac:dyDescent="0.2">
      <c r="A43" s="47"/>
      <c r="B43" s="53"/>
      <c r="C43" s="53"/>
      <c r="D43" s="53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94"/>
    </row>
    <row r="44" spans="1:42" ht="12" x14ac:dyDescent="0.2">
      <c r="A44" s="63" t="s">
        <v>189</v>
      </c>
      <c r="B44" s="53"/>
      <c r="C44" s="53"/>
      <c r="D44" s="53"/>
      <c r="E44" s="52">
        <f>E42+E40</f>
        <v>1754812</v>
      </c>
      <c r="F44" s="52">
        <f>F42+F40</f>
        <v>341431</v>
      </c>
      <c r="G44" s="52">
        <f>G42+G40</f>
        <v>254306</v>
      </c>
      <c r="H44" s="52">
        <f>'[1]ICNC Financial Position'!E8</f>
        <v>403795.37</v>
      </c>
      <c r="I44" s="52">
        <f>I42+I40</f>
        <v>378638</v>
      </c>
      <c r="J44" s="52">
        <f>J42+J40</f>
        <v>404995.75999999896</v>
      </c>
      <c r="K44" s="52">
        <f>K42+K40</f>
        <v>473388.11999999906</v>
      </c>
      <c r="L44" s="52">
        <f>L42+L40</f>
        <v>259538.55000000034</v>
      </c>
      <c r="M44" s="52">
        <f>'[1]ICNC Financial Position'!J8</f>
        <v>307514</v>
      </c>
      <c r="N44" s="52">
        <f>N42+N40</f>
        <v>354288.66999999946</v>
      </c>
      <c r="O44" s="52">
        <f>O42+O40</f>
        <v>284700.18999999989</v>
      </c>
      <c r="P44" s="52">
        <f>P42+P40</f>
        <v>161825.88999999969</v>
      </c>
      <c r="Q44" s="52">
        <f>'[1]ICNC Financial Position'!J8</f>
        <v>307514</v>
      </c>
      <c r="R44" s="52">
        <f>R42+R40</f>
        <v>321900.88999999978</v>
      </c>
      <c r="S44" s="52">
        <f>'[1]ICNC Financial Position'!M8</f>
        <v>307716.31000000006</v>
      </c>
      <c r="T44" s="52">
        <f>'[1]ICNC Financial Position'!N8</f>
        <v>155510.75</v>
      </c>
      <c r="U44" s="52">
        <f>'[1]ICNC Financial Position'!O8</f>
        <v>385196.65</v>
      </c>
      <c r="V44" s="52">
        <f>'[1]ICNC Financial Position'!P8</f>
        <v>191757.31850000005</v>
      </c>
      <c r="W44" s="52">
        <f>U44</f>
        <v>385196.65</v>
      </c>
      <c r="X44" s="52">
        <f>V44</f>
        <v>191757.31850000005</v>
      </c>
      <c r="Y44" s="52">
        <f>'[1]ICNC Interim Financial Position'!Q8</f>
        <v>415892.22</v>
      </c>
      <c r="Z44" s="52">
        <f>'[1]ICNC Financial Position'!Q8</f>
        <v>254876.66999999993</v>
      </c>
      <c r="AA44" s="52">
        <f>Y44</f>
        <v>415892.22</v>
      </c>
      <c r="AB44" s="52">
        <f>AD42</f>
        <v>254876.66999999993</v>
      </c>
      <c r="AC44" s="52">
        <f>'[1]ICNC Interim Financial Position'!S8</f>
        <v>599172.18000000005</v>
      </c>
      <c r="AD44" s="52">
        <f>'[1]ICNC Financial Position'!S8</f>
        <v>441544.42099999823</v>
      </c>
      <c r="AE44" s="52">
        <f>'[1]ICNC Interim Financial Position'!S8</f>
        <v>599172.18000000005</v>
      </c>
      <c r="AF44" s="52">
        <f>'[1]ICNC Financial Position'!S8</f>
        <v>441544.42099999823</v>
      </c>
      <c r="AG44" s="52">
        <f>'[1]ICNC Interim Financial Position'!U8</f>
        <v>415327.15000000008</v>
      </c>
      <c r="AH44" s="52">
        <f>'[1]ICNC Interim Financial Position'!V8</f>
        <v>487386.19000000414</v>
      </c>
      <c r="AI44" s="52">
        <f>'[1]ICNC Interim Financial Position'!W8</f>
        <v>651740.00000000373</v>
      </c>
      <c r="AJ44" s="52">
        <f>'[1]ICNC Interim Financial Position'!X8</f>
        <v>755303.53000000492</v>
      </c>
      <c r="AK44" s="52">
        <f>'[1]ICNC Interim Financial Position'!Y8</f>
        <v>759661.71000000462</v>
      </c>
      <c r="AL44" s="52">
        <f>AK44</f>
        <v>759661.71000000462</v>
      </c>
      <c r="AM44" s="52">
        <f>'[1]ICNC Financial Position'!U8</f>
        <v>1090341.1536728162</v>
      </c>
      <c r="AN44" s="52">
        <f>'[1]ICNC Financial Position'!V8</f>
        <v>1209436.8065846991</v>
      </c>
      <c r="AO44" s="94">
        <f>'[1]ICNC Financial Position'!W8</f>
        <v>1326012.9375968818</v>
      </c>
    </row>
    <row r="45" spans="1:42" ht="12" hidden="1" x14ac:dyDescent="0.2">
      <c r="A45" s="63"/>
      <c r="B45" s="53"/>
      <c r="C45" s="53"/>
      <c r="D45" s="53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</row>
    <row r="46" spans="1:42" ht="12" hidden="1" x14ac:dyDescent="0.2">
      <c r="A46" s="97" t="s">
        <v>257</v>
      </c>
      <c r="B46" s="53"/>
      <c r="C46" s="53"/>
      <c r="D46" s="53"/>
      <c r="E46" s="93"/>
      <c r="F46" s="98">
        <f>(F44+'[1]ICNC Financial Position'!C9)/('[1]ICNC Activities'!D24/12)</f>
        <v>3.2929816773830609</v>
      </c>
      <c r="G46" s="98">
        <f>(G44+'[1]ICNC Financial Position'!D9)/('[1]ICNC Activities'!E24/12)</f>
        <v>5.0557780235974068</v>
      </c>
      <c r="H46" s="98"/>
      <c r="I46" s="98">
        <f>(I44+'[1]ICNC Financial Position'!F9)/('[1]ICNC Activities'!K24/12)</f>
        <v>5.8653792556208781</v>
      </c>
      <c r="J46" s="98"/>
      <c r="K46" s="98"/>
      <c r="L46" s="98"/>
      <c r="M46" s="98"/>
      <c r="N46" s="98"/>
      <c r="O46" s="98"/>
      <c r="P46" s="98"/>
      <c r="Q46" s="98">
        <f>(Q44+'[1]ICNC Financial Position'!J9)/('[1]ICNC Activities'!R24/12)</f>
        <v>4.8231309882118731</v>
      </c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25">
        <f>(AF44+'[1]ICNC Financial Position'!S9)/('[1]ICNC Activities'!AD24/12)</f>
        <v>3.675246661367082</v>
      </c>
      <c r="AG46" s="125"/>
      <c r="AH46" s="125"/>
      <c r="AI46" s="125"/>
      <c r="AJ46" s="125"/>
      <c r="AK46" s="125"/>
      <c r="AL46" s="125"/>
      <c r="AM46" s="125">
        <f>(AM44+'[1]ICNC Financial Position'!U9)/('[1]ICNC Activities'!AF24/12)</f>
        <v>5.918472412634582</v>
      </c>
      <c r="AN46" s="125">
        <f>(AN44+'[1]ICNC Financial Position'!V9)/('[1]ICNC Activities'!AG24/12)</f>
        <v>6.3018890825281995</v>
      </c>
      <c r="AO46" s="126">
        <f>(AO44+'[1]ICNC Financial Position'!W9)/('[1]ICNC Activities'!AH24/12)</f>
        <v>6.6504305509823238</v>
      </c>
      <c r="AP46" s="118"/>
    </row>
    <row r="47" spans="1:42" hidden="1" x14ac:dyDescent="0.25">
      <c r="A47" s="99" t="s">
        <v>258</v>
      </c>
      <c r="B47" s="100"/>
      <c r="C47" s="100"/>
      <c r="D47" s="100"/>
      <c r="E47" s="127"/>
      <c r="F47" s="128">
        <f>(1.2*('[1]ICNC Financial Position'!C40/'[1]ICNC Financial Position'!C17))+(1.4*('[1]ICNC Financial Position'!C35/'[1]ICNC Financial Position'!C17))+(3.3*('[1]ICNC Activities'!D30/'[1]ICNC Financial Position'!C17))+(0.6*('[1]ICNC Financial Position'!C35/'[1]ICNC Financial Position'!C28))+('[1]ICNC Activities'!D18/'[1]ICNC Financial Position'!C17)</f>
        <v>3.6516720670551268</v>
      </c>
      <c r="G47" s="128">
        <f>(1.2*('[1]ICNC Financial Position'!D40/'[1]ICNC Financial Position'!D17))+(1.4*('[1]ICNC Financial Position'!D35/'[1]ICNC Financial Position'!D17))+(3.3*('[1]ICNC Activities'!K30/'[1]ICNC Financial Position'!F17))+(0.6*('[1]ICNC Financial Position'!F35/'[1]ICNC Financial Position'!F28))+('[1]ICNC Activities'!K18/'[1]ICNC Financial Position'!F17)</f>
        <v>4.027677519351557</v>
      </c>
      <c r="H47" s="113"/>
      <c r="I47" s="113">
        <f>(1.2*('[1]ICNC Financial Position'!F40/'[1]ICNC Financial Position'!F17))+(1.4*('[1]ICNC Financial Position'!F35/'[1]ICNC Financial Position'!F17))+(3.3*('[1]ICNC Activities'!K30/'[1]ICNC Financial Position'!F17))+(0.6*('[1]ICNC Financial Position'!F35/'[1]ICNC Financial Position'!F28))+('[1]ICNC Activities'!K18/'[1]ICNC Financial Position'!F17)</f>
        <v>4.0137440208035278</v>
      </c>
      <c r="J47" s="113"/>
      <c r="K47" s="113"/>
      <c r="L47" s="113"/>
      <c r="M47" s="129"/>
      <c r="N47" s="113"/>
      <c r="O47" s="113"/>
      <c r="P47" s="113"/>
      <c r="Q47" s="113">
        <f>(1.2*('[1]ICNC Financial Position'!J40/'[1]ICNC Financial Position'!J17))+(1.4*('[1]ICNC Financial Position'!J35/'[1]ICNC Financial Position'!J17))+(3.3*('[1]ICNC Activities'!R30/'[1]ICNC Financial Position'!J17))+(0.6*('[1]ICNC Financial Position'!J35/'[1]ICNC Financial Position'!J28))+('[1]ICNC Activities'!R18/'[1]ICNC Financial Position'!J17)</f>
        <v>4.3274522599093137</v>
      </c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>
        <f>(1.2*('[1]ICNC Financial Position'!S40/'[1]ICNC Financial Position'!S17))+(1.4*('[1]ICNC Financial Position'!S35/'[1]ICNC Financial Position'!S17))+(3.3*('[1]ICNC Activities'!AD30/'[1]ICNC Financial Position'!S17))+(0.6*('[1]ICNC Financial Position'!S35/'[1]ICNC Financial Position'!S28))+('[1]ICNC Activities'!AD18/'[1]ICNC Financial Position'!S17)</f>
        <v>2.8046612993487425</v>
      </c>
      <c r="AG47" s="128"/>
      <c r="AH47" s="128"/>
      <c r="AI47" s="128"/>
      <c r="AJ47" s="128"/>
      <c r="AK47" s="128"/>
      <c r="AL47" s="128"/>
      <c r="AM47" s="113">
        <f>(1.2*('[1]ICNC Financial Position'!U40/'[1]ICNC Financial Position'!U17))+(1.4*('[1]ICNC Financial Position'!U35/'[1]ICNC Financial Position'!U17))+(3.3*('[1]ICNC Activities'!AF30/'[1]ICNC Financial Position'!U17))+(0.6*('[1]ICNC Financial Position'!U35/'[1]ICNC Financial Position'!U28))+('[1]ICNC Activities'!AF18/'[1]ICNC Financial Position'!U17)</f>
        <v>2.812193302965575</v>
      </c>
      <c r="AN47" s="113">
        <f>(1.2*('[1]ICNC Financial Position'!V40/'[1]ICNC Financial Position'!V17))+(1.4*('[1]ICNC Financial Position'!V35/'[1]ICNC Financial Position'!V17))+(3.3*('[1]ICNC Activities'!AG30/'[1]ICNC Financial Position'!V17))+(0.6*('[1]ICNC Financial Position'!V35/'[1]ICNC Financial Position'!V28))+('[1]ICNC Activities'!AG18/'[1]ICNC Financial Position'!V17)</f>
        <v>2.9668525935163661</v>
      </c>
      <c r="AO47" s="114">
        <f>(1.2*('[1]ICNC Financial Position'!W40/'[1]ICNC Financial Position'!W17))+(1.4*('[1]ICNC Financial Position'!W35/'[1]ICNC Financial Position'!W17))+(3.3*('[1]ICNC Activities'!AH30/'[1]ICNC Financial Position'!W17))+(0.6*('[1]ICNC Financial Position'!W35/'[1]ICNC Financial Position'!W28))+('[1]ICNC Activities'!AH18/'[1]ICNC Financial Position'!W17)</f>
        <v>3.1040910561715633</v>
      </c>
    </row>
    <row r="48" spans="1:42" hidden="1" x14ac:dyDescent="0.25">
      <c r="A48" s="115" t="s">
        <v>259</v>
      </c>
      <c r="B48" s="116"/>
      <c r="C48" s="116"/>
      <c r="D48" s="116"/>
      <c r="E48" s="130"/>
      <c r="F48" s="131"/>
      <c r="G48" s="131"/>
      <c r="H48" s="117"/>
      <c r="I48" s="117"/>
      <c r="J48" s="117"/>
      <c r="K48" s="117"/>
      <c r="L48" s="117"/>
      <c r="M48" s="132"/>
      <c r="N48" s="117"/>
      <c r="O48" s="117"/>
      <c r="P48" s="117"/>
      <c r="Q48" s="117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>
        <f>'[1]ICNC Activities'!AD31/('[1]Loan Schedule'!$E$9*12)</f>
        <v>2.435614111194448</v>
      </c>
      <c r="AG48" s="131"/>
      <c r="AH48" s="131"/>
      <c r="AI48" s="131"/>
      <c r="AJ48" s="131"/>
      <c r="AK48" s="131"/>
      <c r="AL48" s="131"/>
      <c r="AM48" s="131">
        <f>'[1]ICNC Activities'!AF31/('[1]Loan Schedule'!$E$9*12)</f>
        <v>3.253599451485198</v>
      </c>
      <c r="AN48" s="131">
        <f>'[1]ICNC Activities'!AG31/('[1]Loan Schedule'!$E$9*12)</f>
        <v>3.354153352755239</v>
      </c>
      <c r="AO48" s="131">
        <f>'[1]ICNC Activities'!AH31/('[1]Loan Schedule'!$E$9*12)</f>
        <v>3.4450594385255289</v>
      </c>
    </row>
    <row r="49" spans="1:41" x14ac:dyDescent="0.25">
      <c r="A49" s="115"/>
      <c r="B49" s="116"/>
      <c r="C49" s="116"/>
      <c r="D49" s="116"/>
      <c r="E49" s="130"/>
      <c r="F49" s="131"/>
      <c r="G49" s="131"/>
      <c r="H49" s="117"/>
      <c r="I49" s="117"/>
      <c r="J49" s="117"/>
      <c r="K49" s="117"/>
      <c r="L49" s="117"/>
      <c r="M49" s="132"/>
      <c r="N49" s="117"/>
      <c r="O49" s="117"/>
      <c r="P49" s="117"/>
      <c r="Q49" s="117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17"/>
      <c r="AN49" s="117"/>
      <c r="AO49" s="117"/>
    </row>
    <row r="50" spans="1:41" x14ac:dyDescent="0.25">
      <c r="A50" s="101" t="s">
        <v>252</v>
      </c>
      <c r="AF50" s="40"/>
      <c r="AG50" s="40"/>
      <c r="AH50" s="40"/>
      <c r="AI50" s="40"/>
      <c r="AJ50" s="40"/>
      <c r="AK50" s="40"/>
      <c r="AL50" s="40"/>
    </row>
    <row r="51" spans="1:41" x14ac:dyDescent="0.25">
      <c r="A51" s="34" t="str">
        <f>'[1]ICNC Activities'!A36</f>
        <v>Last Modified on Apr 30, 2018. 4:33PM</v>
      </c>
    </row>
  </sheetData>
  <pageMargins left="0.7" right="0.7" top="0.75" bottom="0.75" header="0.3" footer="0.3"/>
  <pageSetup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7"/>
  <sheetViews>
    <sheetView workbookViewId="0">
      <selection activeCell="B55" sqref="B55:B88"/>
    </sheetView>
  </sheetViews>
  <sheetFormatPr defaultRowHeight="15" x14ac:dyDescent="0.25"/>
  <cols>
    <col min="1" max="1" width="32.7109375" style="4" customWidth="1"/>
    <col min="2" max="2" width="3.28515625" style="4" customWidth="1"/>
  </cols>
  <sheetData>
    <row r="2" spans="1:2" x14ac:dyDescent="0.25">
      <c r="A2" s="2" t="s">
        <v>65</v>
      </c>
      <c r="B2" s="2"/>
    </row>
    <row r="3" spans="1:2" x14ac:dyDescent="0.25">
      <c r="A3" s="2"/>
      <c r="B3" s="2"/>
    </row>
    <row r="4" spans="1:2" x14ac:dyDescent="0.25">
      <c r="A4" s="2"/>
      <c r="B4" s="2"/>
    </row>
    <row r="5" spans="1:2" x14ac:dyDescent="0.25">
      <c r="A5" s="2"/>
      <c r="B5" s="2"/>
    </row>
    <row r="6" spans="1:2" x14ac:dyDescent="0.25">
      <c r="A6" s="2" t="s">
        <v>66</v>
      </c>
      <c r="B6" s="2"/>
    </row>
    <row r="12" spans="1:2" x14ac:dyDescent="0.25">
      <c r="A12" s="2" t="s">
        <v>68</v>
      </c>
      <c r="B12" s="2"/>
    </row>
    <row r="14" spans="1:2" x14ac:dyDescent="0.25">
      <c r="A14" s="2" t="s">
        <v>70</v>
      </c>
      <c r="B14" s="2"/>
    </row>
    <row r="15" spans="1:2" x14ac:dyDescent="0.25">
      <c r="A15" s="2" t="s">
        <v>71</v>
      </c>
      <c r="B15" s="2">
        <v>10</v>
      </c>
    </row>
    <row r="16" spans="1:2" x14ac:dyDescent="0.25">
      <c r="A16" s="2" t="s">
        <v>72</v>
      </c>
      <c r="B16" s="2">
        <v>12</v>
      </c>
    </row>
    <row r="17" spans="1:2" x14ac:dyDescent="0.25">
      <c r="A17" s="2" t="s">
        <v>73</v>
      </c>
      <c r="B17" s="2">
        <v>11</v>
      </c>
    </row>
    <row r="18" spans="1:2" x14ac:dyDescent="0.25">
      <c r="A18" s="2" t="s">
        <v>74</v>
      </c>
      <c r="B18" s="2">
        <v>11</v>
      </c>
    </row>
    <row r="19" spans="1:2" x14ac:dyDescent="0.25">
      <c r="A19" s="2" t="s">
        <v>75</v>
      </c>
      <c r="B19" s="2">
        <v>11</v>
      </c>
    </row>
    <row r="20" spans="1:2" x14ac:dyDescent="0.25">
      <c r="A20" s="2" t="s">
        <v>76</v>
      </c>
      <c r="B20" s="2"/>
    </row>
    <row r="21" spans="1:2" x14ac:dyDescent="0.25">
      <c r="A21" s="2" t="s">
        <v>238</v>
      </c>
      <c r="B21" s="2">
        <v>11</v>
      </c>
    </row>
    <row r="22" spans="1:2" x14ac:dyDescent="0.25">
      <c r="A22" s="2" t="s">
        <v>77</v>
      </c>
      <c r="B22" s="2"/>
    </row>
    <row r="23" spans="1:2" x14ac:dyDescent="0.25">
      <c r="A23" s="2" t="s">
        <v>78</v>
      </c>
      <c r="B23" s="2"/>
    </row>
    <row r="24" spans="1:2" x14ac:dyDescent="0.25">
      <c r="A24" s="2" t="s">
        <v>79</v>
      </c>
      <c r="B24" s="2"/>
    </row>
    <row r="25" spans="1:2" x14ac:dyDescent="0.25">
      <c r="A25" s="2" t="s">
        <v>150</v>
      </c>
      <c r="B25" s="2">
        <v>9</v>
      </c>
    </row>
    <row r="26" spans="1:2" x14ac:dyDescent="0.25">
      <c r="A26" s="2" t="s">
        <v>80</v>
      </c>
      <c r="B26" s="2"/>
    </row>
    <row r="27" spans="1:2" x14ac:dyDescent="0.25">
      <c r="A27" s="2" t="s">
        <v>81</v>
      </c>
      <c r="B27" s="2">
        <v>11</v>
      </c>
    </row>
    <row r="28" spans="1:2" x14ac:dyDescent="0.25">
      <c r="A28" s="2" t="s">
        <v>82</v>
      </c>
      <c r="B28" s="2"/>
    </row>
    <row r="30" spans="1:2" x14ac:dyDescent="0.25">
      <c r="A30" s="2" t="s">
        <v>83</v>
      </c>
      <c r="B30" s="2"/>
    </row>
    <row r="32" spans="1:2" x14ac:dyDescent="0.25">
      <c r="A32" s="2" t="s">
        <v>84</v>
      </c>
      <c r="B32" s="2"/>
    </row>
    <row r="33" spans="1:2" x14ac:dyDescent="0.25">
      <c r="A33" s="2" t="s">
        <v>85</v>
      </c>
      <c r="B33" s="2">
        <v>14</v>
      </c>
    </row>
    <row r="34" spans="1:2" x14ac:dyDescent="0.25">
      <c r="A34" s="2" t="s">
        <v>86</v>
      </c>
      <c r="B34" s="2">
        <v>15</v>
      </c>
    </row>
    <row r="35" spans="1:2" x14ac:dyDescent="0.25">
      <c r="A35" s="2" t="s">
        <v>87</v>
      </c>
      <c r="B35" s="2">
        <v>15</v>
      </c>
    </row>
    <row r="36" spans="1:2" x14ac:dyDescent="0.25">
      <c r="A36" s="2" t="s">
        <v>88</v>
      </c>
      <c r="B36" s="2">
        <v>15</v>
      </c>
    </row>
    <row r="37" spans="1:2" x14ac:dyDescent="0.25">
      <c r="A37" s="2" t="s">
        <v>89</v>
      </c>
      <c r="B37" s="2">
        <v>16</v>
      </c>
    </row>
    <row r="38" spans="1:2" x14ac:dyDescent="0.25">
      <c r="A38" s="2" t="s">
        <v>90</v>
      </c>
      <c r="B38" s="2">
        <v>16</v>
      </c>
    </row>
    <row r="39" spans="1:2" x14ac:dyDescent="0.25">
      <c r="A39" s="2" t="s">
        <v>91</v>
      </c>
      <c r="B39" s="2">
        <v>16</v>
      </c>
    </row>
    <row r="40" spans="1:2" x14ac:dyDescent="0.25">
      <c r="A40" s="2" t="s">
        <v>92</v>
      </c>
      <c r="B40" s="2">
        <v>16</v>
      </c>
    </row>
    <row r="41" spans="1:2" x14ac:dyDescent="0.25">
      <c r="A41" s="2" t="s">
        <v>93</v>
      </c>
      <c r="B41" s="2">
        <v>16</v>
      </c>
    </row>
    <row r="42" spans="1:2" x14ac:dyDescent="0.25">
      <c r="A42" s="2" t="s">
        <v>94</v>
      </c>
      <c r="B42" s="2">
        <v>16</v>
      </c>
    </row>
    <row r="43" spans="1:2" x14ac:dyDescent="0.25">
      <c r="A43" s="2" t="s">
        <v>95</v>
      </c>
      <c r="B43" s="2">
        <v>16</v>
      </c>
    </row>
    <row r="44" spans="1:2" x14ac:dyDescent="0.25">
      <c r="A44" s="2" t="s">
        <v>96</v>
      </c>
      <c r="B44" s="2">
        <v>16</v>
      </c>
    </row>
    <row r="45" spans="1:2" x14ac:dyDescent="0.25">
      <c r="A45" s="2" t="s">
        <v>97</v>
      </c>
      <c r="B45" s="2">
        <v>16</v>
      </c>
    </row>
    <row r="46" spans="1:2" x14ac:dyDescent="0.25">
      <c r="A46" s="2" t="s">
        <v>98</v>
      </c>
      <c r="B46" s="2">
        <v>24</v>
      </c>
    </row>
    <row r="47" spans="1:2" x14ac:dyDescent="0.25">
      <c r="A47" s="2" t="s">
        <v>99</v>
      </c>
      <c r="B47" s="2">
        <v>16</v>
      </c>
    </row>
    <row r="48" spans="1:2" x14ac:dyDescent="0.25">
      <c r="A48" s="2" t="s">
        <v>100</v>
      </c>
      <c r="B48" s="2">
        <v>17</v>
      </c>
    </row>
    <row r="49" spans="1:2" x14ac:dyDescent="0.25">
      <c r="A49" s="2" t="s">
        <v>101</v>
      </c>
      <c r="B49" s="2">
        <v>17</v>
      </c>
    </row>
    <row r="50" spans="1:2" x14ac:dyDescent="0.25">
      <c r="A50" s="2" t="s">
        <v>102</v>
      </c>
      <c r="B50" s="2">
        <v>17</v>
      </c>
    </row>
    <row r="51" spans="1:2" x14ac:dyDescent="0.25">
      <c r="A51" s="2" t="s">
        <v>103</v>
      </c>
      <c r="B51" s="2">
        <v>17</v>
      </c>
    </row>
    <row r="52" spans="1:2" x14ac:dyDescent="0.25">
      <c r="A52" s="2" t="s">
        <v>104</v>
      </c>
      <c r="B52" s="2">
        <v>17</v>
      </c>
    </row>
    <row r="53" spans="1:2" x14ac:dyDescent="0.25">
      <c r="A53" s="2" t="s">
        <v>105</v>
      </c>
      <c r="B53" s="2">
        <v>23</v>
      </c>
    </row>
    <row r="54" spans="1:2" x14ac:dyDescent="0.25">
      <c r="A54" s="2" t="s">
        <v>106</v>
      </c>
      <c r="B54" s="2">
        <v>17</v>
      </c>
    </row>
    <row r="55" spans="1:2" x14ac:dyDescent="0.25">
      <c r="A55" s="2" t="s">
        <v>107</v>
      </c>
      <c r="B55" s="2">
        <v>17</v>
      </c>
    </row>
    <row r="56" spans="1:2" x14ac:dyDescent="0.25">
      <c r="A56" s="2" t="s">
        <v>108</v>
      </c>
      <c r="B56" s="2">
        <v>17</v>
      </c>
    </row>
    <row r="57" spans="1:2" x14ac:dyDescent="0.25">
      <c r="A57" s="2" t="s">
        <v>109</v>
      </c>
      <c r="B57" s="2">
        <v>17</v>
      </c>
    </row>
    <row r="58" spans="1:2" x14ac:dyDescent="0.25">
      <c r="A58" s="2" t="s">
        <v>110</v>
      </c>
      <c r="B58" s="2">
        <v>22</v>
      </c>
    </row>
    <row r="59" spans="1:2" x14ac:dyDescent="0.25">
      <c r="A59" s="2" t="s">
        <v>111</v>
      </c>
      <c r="B59" s="2">
        <v>22</v>
      </c>
    </row>
    <row r="60" spans="1:2" x14ac:dyDescent="0.25">
      <c r="A60" s="2" t="s">
        <v>112</v>
      </c>
      <c r="B60" s="2">
        <v>22</v>
      </c>
    </row>
    <row r="61" spans="1:2" x14ac:dyDescent="0.25">
      <c r="A61" s="2" t="s">
        <v>113</v>
      </c>
      <c r="B61" s="2">
        <v>22</v>
      </c>
    </row>
    <row r="62" spans="1:2" x14ac:dyDescent="0.25">
      <c r="A62" s="2" t="s">
        <v>114</v>
      </c>
      <c r="B62" s="2">
        <v>22</v>
      </c>
    </row>
    <row r="63" spans="1:2" x14ac:dyDescent="0.25">
      <c r="A63" s="2" t="s">
        <v>115</v>
      </c>
      <c r="B63" s="2">
        <v>22</v>
      </c>
    </row>
    <row r="64" spans="1:2" x14ac:dyDescent="0.25">
      <c r="A64" s="2" t="s">
        <v>116</v>
      </c>
      <c r="B64" s="2">
        <v>22</v>
      </c>
    </row>
    <row r="65" spans="1:2" x14ac:dyDescent="0.25">
      <c r="A65" s="2" t="s">
        <v>117</v>
      </c>
      <c r="B65" s="2">
        <v>22</v>
      </c>
    </row>
    <row r="66" spans="1:2" x14ac:dyDescent="0.25">
      <c r="A66" s="2" t="s">
        <v>118</v>
      </c>
      <c r="B66" s="2">
        <v>22</v>
      </c>
    </row>
    <row r="67" spans="1:2" x14ac:dyDescent="0.25">
      <c r="A67" s="2" t="s">
        <v>119</v>
      </c>
      <c r="B67" s="2">
        <v>22</v>
      </c>
    </row>
    <row r="68" spans="1:2" x14ac:dyDescent="0.25">
      <c r="A68" s="2" t="s">
        <v>120</v>
      </c>
      <c r="B68" s="2">
        <v>22</v>
      </c>
    </row>
    <row r="69" spans="1:2" x14ac:dyDescent="0.25">
      <c r="A69" s="2" t="s">
        <v>121</v>
      </c>
      <c r="B69" s="2">
        <v>22</v>
      </c>
    </row>
    <row r="70" spans="1:2" x14ac:dyDescent="0.25">
      <c r="A70" s="2" t="s">
        <v>122</v>
      </c>
      <c r="B70" s="2">
        <v>22</v>
      </c>
    </row>
    <row r="71" spans="1:2" x14ac:dyDescent="0.25">
      <c r="A71" s="2" t="s">
        <v>123</v>
      </c>
      <c r="B71" s="2">
        <v>22</v>
      </c>
    </row>
    <row r="72" spans="1:2" x14ac:dyDescent="0.25">
      <c r="A72" s="2" t="s">
        <v>124</v>
      </c>
      <c r="B72" s="2">
        <v>18</v>
      </c>
    </row>
    <row r="73" spans="1:2" x14ac:dyDescent="0.25">
      <c r="A73" s="2" t="s">
        <v>125</v>
      </c>
      <c r="B73" s="2">
        <v>18</v>
      </c>
    </row>
    <row r="74" spans="1:2" x14ac:dyDescent="0.25">
      <c r="A74" s="2" t="s">
        <v>126</v>
      </c>
      <c r="B74" s="2">
        <v>18</v>
      </c>
    </row>
    <row r="75" spans="1:2" x14ac:dyDescent="0.25">
      <c r="A75" s="2" t="s">
        <v>127</v>
      </c>
      <c r="B75" s="2">
        <v>18</v>
      </c>
    </row>
    <row r="76" spans="1:2" x14ac:dyDescent="0.25">
      <c r="A76" s="2" t="s">
        <v>128</v>
      </c>
      <c r="B76" s="2">
        <v>24</v>
      </c>
    </row>
    <row r="77" spans="1:2" x14ac:dyDescent="0.25">
      <c r="A77" s="2" t="s">
        <v>129</v>
      </c>
      <c r="B77" s="2">
        <v>20</v>
      </c>
    </row>
    <row r="78" spans="1:2" x14ac:dyDescent="0.25">
      <c r="A78" s="2" t="s">
        <v>130</v>
      </c>
      <c r="B78" s="2">
        <v>23</v>
      </c>
    </row>
    <row r="79" spans="1:2" x14ac:dyDescent="0.25">
      <c r="A79" s="2" t="s">
        <v>131</v>
      </c>
      <c r="B79" s="2">
        <v>20</v>
      </c>
    </row>
    <row r="80" spans="1:2" x14ac:dyDescent="0.25">
      <c r="A80" s="2" t="s">
        <v>132</v>
      </c>
      <c r="B80" s="2">
        <v>23</v>
      </c>
    </row>
    <row r="81" spans="1:2" x14ac:dyDescent="0.25">
      <c r="A81" s="2" t="s">
        <v>133</v>
      </c>
      <c r="B81" s="2">
        <v>23</v>
      </c>
    </row>
    <row r="82" spans="1:2" x14ac:dyDescent="0.25">
      <c r="A82" s="2" t="s">
        <v>134</v>
      </c>
      <c r="B82" s="2">
        <v>23</v>
      </c>
    </row>
    <row r="83" spans="1:2" x14ac:dyDescent="0.25">
      <c r="A83" s="2" t="s">
        <v>225</v>
      </c>
      <c r="B83" s="2">
        <v>25</v>
      </c>
    </row>
    <row r="84" spans="1:2" x14ac:dyDescent="0.25">
      <c r="A84" s="2" t="s">
        <v>135</v>
      </c>
      <c r="B84" s="2">
        <v>21</v>
      </c>
    </row>
    <row r="85" spans="1:2" x14ac:dyDescent="0.25">
      <c r="A85" s="2" t="s">
        <v>136</v>
      </c>
      <c r="B85" s="2">
        <v>20</v>
      </c>
    </row>
    <row r="86" spans="1:2" x14ac:dyDescent="0.25">
      <c r="A86" s="2" t="s">
        <v>137</v>
      </c>
      <c r="B86" s="2">
        <v>23</v>
      </c>
    </row>
    <row r="87" spans="1:2" x14ac:dyDescent="0.25">
      <c r="A87" s="2" t="s">
        <v>138</v>
      </c>
      <c r="B87" s="2">
        <v>19</v>
      </c>
    </row>
    <row r="88" spans="1:2" x14ac:dyDescent="0.25">
      <c r="A88" s="2" t="s">
        <v>139</v>
      </c>
      <c r="B88" s="2">
        <v>26</v>
      </c>
    </row>
    <row r="90" spans="1:2" x14ac:dyDescent="0.25">
      <c r="A90" s="2" t="s">
        <v>140</v>
      </c>
    </row>
    <row r="92" spans="1:2" x14ac:dyDescent="0.25">
      <c r="B92" s="2"/>
    </row>
    <row r="95" spans="1:2" x14ac:dyDescent="0.25">
      <c r="A95" s="2" t="s">
        <v>141</v>
      </c>
    </row>
    <row r="97" spans="2:2" x14ac:dyDescent="0.25">
      <c r="B97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topLeftCell="A52" workbookViewId="0">
      <selection activeCell="F72" sqref="F72"/>
    </sheetView>
  </sheetViews>
  <sheetFormatPr defaultRowHeight="15" x14ac:dyDescent="0.25"/>
  <cols>
    <col min="1" max="1" width="43.85546875" style="68" bestFit="1" customWidth="1"/>
    <col min="2" max="2" width="7.7109375" style="68" bestFit="1" customWidth="1"/>
  </cols>
  <sheetData>
    <row r="1" spans="1:2" ht="18" x14ac:dyDescent="0.25">
      <c r="A1" s="69" t="s">
        <v>195</v>
      </c>
    </row>
    <row r="4" spans="1:2" x14ac:dyDescent="0.25">
      <c r="B4" s="26"/>
    </row>
    <row r="5" spans="1:2" x14ac:dyDescent="0.25">
      <c r="A5" s="67"/>
      <c r="B5" s="41"/>
    </row>
    <row r="6" spans="1:2" x14ac:dyDescent="0.25">
      <c r="A6" s="67"/>
      <c r="B6" s="42"/>
    </row>
    <row r="7" spans="1:2" x14ac:dyDescent="0.25">
      <c r="A7" s="1" t="s">
        <v>2</v>
      </c>
      <c r="B7" s="43"/>
    </row>
    <row r="8" spans="1:2" x14ac:dyDescent="0.25">
      <c r="A8" s="1" t="s">
        <v>3</v>
      </c>
      <c r="B8" s="44"/>
    </row>
    <row r="9" spans="1:2" x14ac:dyDescent="0.25">
      <c r="A9" s="1" t="s">
        <v>4</v>
      </c>
      <c r="B9" s="44"/>
    </row>
    <row r="10" spans="1:2" x14ac:dyDescent="0.25">
      <c r="A10" s="1" t="s">
        <v>226</v>
      </c>
      <c r="B10" s="44"/>
    </row>
    <row r="11" spans="1:2" x14ac:dyDescent="0.25">
      <c r="A11" s="1" t="s">
        <v>5</v>
      </c>
      <c r="B11" s="45">
        <v>1</v>
      </c>
    </row>
    <row r="12" spans="1:2" x14ac:dyDescent="0.25">
      <c r="A12" s="1" t="s">
        <v>6</v>
      </c>
      <c r="B12" s="44"/>
    </row>
    <row r="13" spans="1:2" x14ac:dyDescent="0.25">
      <c r="A13" s="1" t="s">
        <v>7</v>
      </c>
      <c r="B13" s="44"/>
    </row>
    <row r="14" spans="1:2" x14ac:dyDescent="0.25">
      <c r="A14" s="1" t="s">
        <v>8</v>
      </c>
      <c r="B14" s="45">
        <v>3</v>
      </c>
    </row>
    <row r="15" spans="1:2" x14ac:dyDescent="0.25">
      <c r="A15" s="1" t="s">
        <v>9</v>
      </c>
      <c r="B15" s="44"/>
    </row>
    <row r="16" spans="1:2" x14ac:dyDescent="0.25">
      <c r="A16" s="1" t="s">
        <v>10</v>
      </c>
      <c r="B16" s="26"/>
    </row>
    <row r="17" spans="1:2" x14ac:dyDescent="0.25">
      <c r="A17" s="1" t="s">
        <v>11</v>
      </c>
      <c r="B17" s="26"/>
    </row>
    <row r="18" spans="1:2" x14ac:dyDescent="0.25">
      <c r="A18" s="1" t="s">
        <v>12</v>
      </c>
      <c r="B18" s="26"/>
    </row>
    <row r="19" spans="1:2" x14ac:dyDescent="0.25">
      <c r="A19" s="1" t="s">
        <v>227</v>
      </c>
      <c r="B19" s="44"/>
    </row>
    <row r="20" spans="1:2" x14ac:dyDescent="0.25">
      <c r="A20" s="1" t="s">
        <v>228</v>
      </c>
      <c r="B20" s="44"/>
    </row>
    <row r="21" spans="1:2" x14ac:dyDescent="0.25">
      <c r="A21" s="1" t="s">
        <v>229</v>
      </c>
      <c r="B21" s="44"/>
    </row>
    <row r="22" spans="1:2" x14ac:dyDescent="0.25">
      <c r="A22" s="1" t="s">
        <v>13</v>
      </c>
      <c r="B22" s="45">
        <v>2</v>
      </c>
    </row>
    <row r="23" spans="1:2" x14ac:dyDescent="0.25">
      <c r="A23" s="1" t="s">
        <v>230</v>
      </c>
      <c r="B23" s="26"/>
    </row>
    <row r="24" spans="1:2" x14ac:dyDescent="0.25">
      <c r="A24" s="1" t="s">
        <v>14</v>
      </c>
      <c r="B24" s="44"/>
    </row>
    <row r="25" spans="1:2" x14ac:dyDescent="0.25">
      <c r="A25" s="1" t="s">
        <v>15</v>
      </c>
      <c r="B25" s="45"/>
    </row>
    <row r="26" spans="1:2" x14ac:dyDescent="0.25">
      <c r="A26" s="1" t="s">
        <v>16</v>
      </c>
      <c r="B26" s="45"/>
    </row>
    <row r="27" spans="1:2" x14ac:dyDescent="0.25">
      <c r="A27" s="1" t="s">
        <v>17</v>
      </c>
      <c r="B27" s="43"/>
    </row>
    <row r="28" spans="1:2" x14ac:dyDescent="0.25">
      <c r="A28" s="1" t="s">
        <v>18</v>
      </c>
      <c r="B28" s="44"/>
    </row>
    <row r="29" spans="1:2" x14ac:dyDescent="0.25">
      <c r="A29" s="1" t="s">
        <v>19</v>
      </c>
      <c r="B29" s="26">
        <v>7</v>
      </c>
    </row>
    <row r="30" spans="1:2" x14ac:dyDescent="0.25">
      <c r="A30" s="1" t="s">
        <v>231</v>
      </c>
      <c r="B30" s="26">
        <v>7</v>
      </c>
    </row>
    <row r="31" spans="1:2" x14ac:dyDescent="0.25">
      <c r="A31" s="1" t="s">
        <v>20</v>
      </c>
      <c r="B31" s="26">
        <v>7</v>
      </c>
    </row>
    <row r="32" spans="1:2" x14ac:dyDescent="0.25">
      <c r="A32" s="1" t="s">
        <v>232</v>
      </c>
      <c r="B32" s="26">
        <v>7</v>
      </c>
    </row>
    <row r="33" spans="1:2" x14ac:dyDescent="0.25">
      <c r="A33" s="1" t="s">
        <v>21</v>
      </c>
      <c r="B33" s="26">
        <v>7</v>
      </c>
    </row>
    <row r="34" spans="1:2" x14ac:dyDescent="0.25">
      <c r="A34" s="1" t="s">
        <v>22</v>
      </c>
      <c r="B34" s="44"/>
    </row>
    <row r="35" spans="1:2" x14ac:dyDescent="0.25">
      <c r="A35" s="1" t="s">
        <v>23</v>
      </c>
      <c r="B35" s="44"/>
    </row>
    <row r="36" spans="1:2" x14ac:dyDescent="0.25">
      <c r="A36" s="70" t="s">
        <v>24</v>
      </c>
    </row>
    <row r="37" spans="1:2" ht="23.25" x14ac:dyDescent="0.25">
      <c r="A37" s="1" t="s">
        <v>25</v>
      </c>
      <c r="B37" s="45" t="s">
        <v>237</v>
      </c>
    </row>
    <row r="38" spans="1:2" x14ac:dyDescent="0.25">
      <c r="A38" s="1" t="s">
        <v>26</v>
      </c>
      <c r="B38" s="44"/>
    </row>
    <row r="39" spans="1:2" x14ac:dyDescent="0.25">
      <c r="A39" s="1" t="s">
        <v>27</v>
      </c>
      <c r="B39" s="44">
        <v>4</v>
      </c>
    </row>
    <row r="40" spans="1:2" x14ac:dyDescent="0.25">
      <c r="A40" s="1" t="s">
        <v>28</v>
      </c>
      <c r="B40" s="44">
        <v>4</v>
      </c>
    </row>
    <row r="41" spans="1:2" x14ac:dyDescent="0.25">
      <c r="A41" s="1" t="s">
        <v>29</v>
      </c>
      <c r="B41" s="44">
        <v>5</v>
      </c>
    </row>
    <row r="42" spans="1:2" x14ac:dyDescent="0.25">
      <c r="A42" s="1" t="s">
        <v>30</v>
      </c>
      <c r="B42" s="44">
        <v>5</v>
      </c>
    </row>
    <row r="43" spans="1:2" x14ac:dyDescent="0.25">
      <c r="A43" s="1" t="s">
        <v>31</v>
      </c>
      <c r="B43" s="44">
        <v>5</v>
      </c>
    </row>
    <row r="44" spans="1:2" x14ac:dyDescent="0.25">
      <c r="A44" s="1" t="s">
        <v>32</v>
      </c>
      <c r="B44" s="44">
        <v>5</v>
      </c>
    </row>
    <row r="45" spans="1:2" x14ac:dyDescent="0.25">
      <c r="A45" s="1" t="s">
        <v>33</v>
      </c>
      <c r="B45" s="44">
        <v>5</v>
      </c>
    </row>
    <row r="46" spans="1:2" x14ac:dyDescent="0.25">
      <c r="A46" s="1" t="s">
        <v>34</v>
      </c>
      <c r="B46" s="45"/>
    </row>
    <row r="47" spans="1:2" x14ac:dyDescent="0.25">
      <c r="A47" s="1" t="s">
        <v>35</v>
      </c>
      <c r="B47" s="44"/>
    </row>
    <row r="48" spans="1:2" x14ac:dyDescent="0.25">
      <c r="A48" s="1" t="s">
        <v>36</v>
      </c>
      <c r="B48" s="44"/>
    </row>
    <row r="49" spans="1:2" x14ac:dyDescent="0.25">
      <c r="A49" s="1" t="s">
        <v>37</v>
      </c>
      <c r="B49" s="44"/>
    </row>
    <row r="50" spans="1:2" x14ac:dyDescent="0.25">
      <c r="A50" s="1" t="s">
        <v>38</v>
      </c>
      <c r="B50" s="44"/>
    </row>
    <row r="51" spans="1:2" x14ac:dyDescent="0.25">
      <c r="A51" s="1" t="s">
        <v>39</v>
      </c>
      <c r="B51" s="44"/>
    </row>
    <row r="52" spans="1:2" x14ac:dyDescent="0.25">
      <c r="A52" s="1" t="s">
        <v>40</v>
      </c>
      <c r="B52" s="44"/>
    </row>
    <row r="53" spans="1:2" x14ac:dyDescent="0.25">
      <c r="A53" s="1" t="s">
        <v>41</v>
      </c>
      <c r="B53" s="45"/>
    </row>
    <row r="54" spans="1:2" x14ac:dyDescent="0.25">
      <c r="A54" s="1" t="s">
        <v>42</v>
      </c>
      <c r="B54" s="44"/>
    </row>
    <row r="55" spans="1:2" x14ac:dyDescent="0.25">
      <c r="A55" s="1" t="s">
        <v>43</v>
      </c>
      <c r="B55" s="44"/>
    </row>
    <row r="56" spans="1:2" x14ac:dyDescent="0.25">
      <c r="A56" s="1" t="s">
        <v>44</v>
      </c>
      <c r="B56" s="44"/>
    </row>
    <row r="57" spans="1:2" x14ac:dyDescent="0.25">
      <c r="A57" s="1" t="s">
        <v>233</v>
      </c>
      <c r="B57" s="44"/>
    </row>
    <row r="58" spans="1:2" x14ac:dyDescent="0.25">
      <c r="A58" s="1" t="s">
        <v>234</v>
      </c>
      <c r="B58" s="44"/>
    </row>
    <row r="59" spans="1:2" x14ac:dyDescent="0.25">
      <c r="A59" s="1" t="s">
        <v>45</v>
      </c>
      <c r="B59" s="44"/>
    </row>
    <row r="60" spans="1:2" x14ac:dyDescent="0.25">
      <c r="A60" s="1" t="s">
        <v>46</v>
      </c>
      <c r="B60" s="44"/>
    </row>
    <row r="61" spans="1:2" x14ac:dyDescent="0.25">
      <c r="A61" s="1" t="s">
        <v>47</v>
      </c>
      <c r="B61" s="44"/>
    </row>
    <row r="62" spans="1:2" x14ac:dyDescent="0.25">
      <c r="A62" s="1" t="s">
        <v>48</v>
      </c>
      <c r="B62" s="44"/>
    </row>
    <row r="63" spans="1:2" x14ac:dyDescent="0.25">
      <c r="A63" s="1" t="s">
        <v>49</v>
      </c>
      <c r="B63" s="44"/>
    </row>
    <row r="64" spans="1:2" x14ac:dyDescent="0.25">
      <c r="A64" s="1" t="s">
        <v>50</v>
      </c>
      <c r="B64" s="44"/>
    </row>
    <row r="65" spans="1:2" x14ac:dyDescent="0.25">
      <c r="A65" s="1" t="s">
        <v>51</v>
      </c>
      <c r="B65" s="44"/>
    </row>
    <row r="66" spans="1:2" x14ac:dyDescent="0.25">
      <c r="A66" s="1" t="s">
        <v>52</v>
      </c>
      <c r="B66" s="44"/>
    </row>
    <row r="67" spans="1:2" x14ac:dyDescent="0.25">
      <c r="A67" s="1" t="s">
        <v>53</v>
      </c>
      <c r="B67" s="44"/>
    </row>
    <row r="68" spans="1:2" x14ac:dyDescent="0.25">
      <c r="A68" s="1" t="s">
        <v>54</v>
      </c>
      <c r="B68" s="45"/>
    </row>
    <row r="69" spans="1:2" x14ac:dyDescent="0.25">
      <c r="A69" s="1" t="s">
        <v>55</v>
      </c>
      <c r="B69" s="44"/>
    </row>
    <row r="70" spans="1:2" x14ac:dyDescent="0.25">
      <c r="A70" s="1" t="s">
        <v>56</v>
      </c>
      <c r="B70" s="44"/>
    </row>
    <row r="71" spans="1:2" x14ac:dyDescent="0.25">
      <c r="A71" s="1" t="s">
        <v>57</v>
      </c>
      <c r="B71" s="44"/>
    </row>
    <row r="72" spans="1:2" x14ac:dyDescent="0.25">
      <c r="A72" s="1" t="s">
        <v>58</v>
      </c>
      <c r="B72" s="45"/>
    </row>
    <row r="73" spans="1:2" x14ac:dyDescent="0.25">
      <c r="A73" s="1" t="s">
        <v>59</v>
      </c>
      <c r="B73" s="44"/>
    </row>
    <row r="74" spans="1:2" x14ac:dyDescent="0.25">
      <c r="A74" s="1" t="s">
        <v>60</v>
      </c>
      <c r="B74" s="44"/>
    </row>
    <row r="75" spans="1:2" x14ac:dyDescent="0.25">
      <c r="A75" s="1" t="s">
        <v>61</v>
      </c>
      <c r="B75" s="45">
        <v>6</v>
      </c>
    </row>
    <row r="76" spans="1:2" x14ac:dyDescent="0.25">
      <c r="A76" s="1" t="s">
        <v>235</v>
      </c>
      <c r="B76" s="44"/>
    </row>
    <row r="77" spans="1:2" x14ac:dyDescent="0.25">
      <c r="A77" s="1" t="s">
        <v>62</v>
      </c>
      <c r="B77" s="45"/>
    </row>
    <row r="78" spans="1:2" x14ac:dyDescent="0.25">
      <c r="A78" s="1" t="s">
        <v>63</v>
      </c>
      <c r="B78" s="45"/>
    </row>
    <row r="79" spans="1:2" x14ac:dyDescent="0.25">
      <c r="A79" s="1" t="s">
        <v>64</v>
      </c>
      <c r="B79" s="45"/>
    </row>
    <row r="80" spans="1:2" x14ac:dyDescent="0.25">
      <c r="A80" s="66" t="s">
        <v>236</v>
      </c>
      <c r="B80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Activities summary</vt:lpstr>
      <vt:lpstr>MRI download</vt:lpstr>
      <vt:lpstr>Quickbooks download</vt:lpstr>
      <vt:lpstr>Position</vt:lpstr>
      <vt:lpstr>Cash</vt:lpstr>
      <vt:lpstr>bldg codes</vt:lpstr>
      <vt:lpstr>prog codes</vt:lpstr>
      <vt:lpstr>'Activities summary'!Print_Area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Steve DeBretto</cp:lastModifiedBy>
  <cp:lastPrinted>2018-05-09T19:46:00Z</cp:lastPrinted>
  <dcterms:created xsi:type="dcterms:W3CDTF">2017-03-16T19:51:50Z</dcterms:created>
  <dcterms:modified xsi:type="dcterms:W3CDTF">2018-05-10T19:54:45Z</dcterms:modified>
</cp:coreProperties>
</file>